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6.xml.rels" ContentType="application/vnd.openxmlformats-package.relationships+xml"/>
  <Override PartName="/xl/worksheets/_rels/sheet4.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_rels/drawing1.xml.rels" ContentType="application/vnd.openxmlformats-package.relationships+xml"/>
  <Override PartName="/xl/drawings/vmlDrawing1.vml" ContentType="application/vnd.openxmlformats-officedocument.vmlDrawing"/>
  <Override PartName="/xl/drawings/drawing1.xml" ContentType="application/vnd.openxmlformats-officedocument.drawing+xml"/>
  <Override PartName="/xl/drawings/vmlDrawing2.vml" ContentType="application/vnd.openxmlformats-officedocument.vmlDrawing"/>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omments6.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come Statement" sheetId="1" state="visible" r:id="rId3"/>
    <sheet name="Balance Sheet" sheetId="2" state="visible" r:id="rId4"/>
    <sheet name="Cash Flow" sheetId="3" state="visible" r:id="rId5"/>
    <sheet name="Company KPIs" sheetId="4" state="visible" r:id="rId6"/>
    <sheet name="Sentiment &amp; Mgmt Quality" sheetId="5" state="visible" r:id="rId7"/>
    <sheet name="Valuation" sheetId="6" state="visible" r:id="rId8"/>
    <sheet name="Ownership" sheetId="7" state="visible" r:id="rId9"/>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A11" authorId="0">
      <text>
        <r>
          <rPr>
            <sz val="10"/>
            <rFont val="Arial"/>
            <family val="2"/>
          </rPr>
          <t xml:space="preserve">FY2021 only: a net credit relating to an insurance recovery following a fire at the Lightronics (Netherlands) facility. No exceptional items were recognised in any other year FY2022-FY2025 — FW Thorpe's earnings are otherwise clean and free of impairments, restructuring charges, or other distressed-accounting items, in contrast to several other companies reviewed in this project series.</t>
        </r>
      </text>
    </comment>
    <comment ref="A15" authorId="0">
      <text>
        <r>
          <rPr>
            <sz val="10"/>
            <rFont val="Arial"/>
            <family val="2"/>
          </rPr>
          <t xml:space="preserve">Ratio Holding B.V. (Netherlands) is a 50%-owned, equity-accounted joint venture, first invested in during FY2022 (initial investment £4,958k per the Cash Flow tab). It has been loss-making on a widening trend in every year since acquisition (FY2022: +£228k profit in its first partial period, FY2023: -£520k, FY2024: -£826k, FY2025: -£1,360k) — a recurring drag worth watching rather than a one-off, though immaterial in scale relative to Group profit before tax.</t>
        </r>
      </text>
    </comment>
    <comment ref="A20" authorId="0">
      <text>
        <r>
          <rPr>
            <sz val="10"/>
            <rFont val="Arial"/>
            <family val="2"/>
          </rPr>
          <t xml:space="preserve">The Company's own non-GAAP measure, excluding amortisation of acquisition-related intangible assets (customer relationships, technology, brand names recognised on the Zemper and SchahlLED/Lumen acquisitions) and fair-value movements on the deferred/contingent 'redemption liability' for the outstanding minority stakes in those two businesses. This measure was only formally reported and reconciled from FY2023 onward — FY2021 and FY2022 predate the SchahlLED acquisition (Sept 2022) and the measure's introduction, so no comparable figure exists for those years; do not force a derived FY2021/FY2022 equivalent.</t>
        </r>
      </text>
    </comment>
    <comment ref="A24" authorId="0">
      <text>
        <r>
          <rPr>
            <sz val="10"/>
            <rFont val="Arial"/>
            <family val="2"/>
          </rPr>
          <t xml:space="preserve">Deliberately excludes special dividends (shown separately below) to preserve a clean 'ordinary dividend growth' series, since the Company itself markets its dividend record on this ordinary-only basis (e.g., '23 consecutive years of increased dividends' cited in the FY2025 investor presentation) — the TOTAL paid dividend including specials is NOT monotonically increasing (it fell from 10.32p in FY2022, which included two special payments, to 6.23p in FY2023, which included none), which would misleadingly read as a dividend cut if the ordinary and special components are not separated. FY2021 ordinary total of 5.80p reconciles to 1.49p (interim, paid in year) + 4.31p (final, declared FY2021, paid FY2022) on a declared/economic-entitlement basis, per the Company's own dividend note.</t>
        </r>
      </text>
    </comment>
  </commentList>
</comments>
</file>

<file path=xl/comments6.xml><?xml version="1.0" encoding="utf-8"?>
<comments xmlns="http://schemas.openxmlformats.org/spreadsheetml/2006/main" xmlns:xdr="http://schemas.openxmlformats.org/drawingml/2006/spreadsheetDrawing">
  <authors>
    <author>Unknown Author</author>
  </authors>
  <commentList>
    <comment ref="A66" authorId="0">
      <text>
        <r>
          <rPr>
            <sz val="10"/>
            <rFont val="Arial"/>
            <family val="2"/>
          </rPr>
          <t xml:space="preserve">Market cap €165.5m. Source: stockanalysis.com.</t>
        </r>
      </text>
    </comment>
    <comment ref="A67" authorId="0">
      <text>
        <r>
          <rPr>
            <sz val="10"/>
            <rFont val="Arial"/>
            <family val="2"/>
          </rPr>
          <t xml:space="preserve">Market cap SEK 3.07bn. Yield flagged as possibly overstated (special dividend timing/FX). Source: stockanalysis.com.</t>
        </r>
      </text>
    </comment>
    <comment ref="A68" authorId="0">
      <text>
        <r>
          <rPr>
            <sz val="10"/>
            <rFont val="Arial"/>
            <family val="2"/>
          </rPr>
          <t xml:space="preserve">Market cap €1.85bn; P/E and yield on 12-month-forward basis. Source: Stockopedia.</t>
        </r>
      </text>
    </comment>
    <comment ref="A69" authorId="0">
      <text>
        <r>
          <rPr>
            <sz val="10"/>
            <rFont val="Arial"/>
            <family val="2"/>
          </rPr>
          <t xml:space="preserve">Market cap £83.2m. Source: stockanalysis.com.</t>
        </r>
      </text>
    </comment>
    <comment ref="A70" authorId="0">
      <text>
        <r>
          <rPr>
            <sz val="10"/>
            <rFont val="Arial"/>
            <family val="2"/>
          </rPr>
          <t xml:space="preserve">Market cap £13.42bn. Quality ceiling, not a valuation anchor. Source: stockanalysis.com.</t>
        </r>
      </text>
    </comment>
    <comment ref="A71" authorId="0">
      <text>
        <r>
          <rPr>
            <sz val="10"/>
            <rFont val="Arial"/>
            <family val="2"/>
          </rPr>
          <t xml:space="preserve">Market cap £3.96bn; P/E and yield forward. Quality ceiling, not a valuation anchor. Source: Stockopedia.</t>
        </r>
      </text>
    </comment>
    <comment ref="A72" authorId="0">
      <text>
        <r>
          <rPr>
            <sz val="10"/>
            <rFont val="Arial"/>
            <family val="2"/>
          </rPr>
          <t xml:space="preserve">Market cap ~£1.2bn. Source: investing.com.</t>
        </r>
      </text>
    </comment>
  </commentList>
</comments>
</file>

<file path=xl/sharedStrings.xml><?xml version="1.0" encoding="utf-8"?>
<sst xmlns="http://schemas.openxmlformats.org/spreadsheetml/2006/main" count="336" uniqueCount="303">
  <si>
    <t xml:space="preserve">FW Thorpe plc (TFW) — Consolidated Income Statement, GBP thousands</t>
  </si>
  <si>
    <t xml:space="preserve">Source: Consolidated Income Statement, Annual Report &amp; Accounts, year ended 30 June each year. NO FY2019/FY2020 annual report exists in the source set reviewed — FY2021 is the earliest year covered; FY2020 comparators quoted in narrative comments are drawn from the FY2021 Annual Report's own prior-year column where cited. FW Thorpe is AIM-listed (not Main Market) and, unlike the other companies in this research series, has clean, undistorted statutory earnings — no exceptional impairments, no distressed accounting.</t>
  </si>
  <si>
    <t xml:space="preserve">FY2021</t>
  </si>
  <si>
    <t xml:space="preserve">FY2022</t>
  </si>
  <si>
    <t xml:space="preserve">FY2023</t>
  </si>
  <si>
    <t xml:space="preserve">FY2024</t>
  </si>
  <si>
    <t xml:space="preserve">FY2025</t>
  </si>
  <si>
    <t xml:space="preserve">Revenue</t>
  </si>
  <si>
    <t xml:space="preserve">  Cost of sales</t>
  </si>
  <si>
    <t xml:space="preserve">Gross profit</t>
  </si>
  <si>
    <t xml:space="preserve">  Distribution costs</t>
  </si>
  <si>
    <t xml:space="preserve">  Administrative expenses</t>
  </si>
  <si>
    <t xml:space="preserve">  Other operating income</t>
  </si>
  <si>
    <t xml:space="preserve">  Exceptional item (Lightronics fire, insurance recovery)</t>
  </si>
  <si>
    <t xml:space="preserve">Operating profit</t>
  </si>
  <si>
    <t xml:space="preserve">  Finance income</t>
  </si>
  <si>
    <t xml:space="preserve">  Finance expense</t>
  </si>
  <si>
    <t xml:space="preserve">  Share of (loss)/profit of joint venture (Ratio Holding B.V.)</t>
  </si>
  <si>
    <t xml:space="preserve">Profit before tax</t>
  </si>
  <si>
    <t xml:space="preserve">  Taxation</t>
  </si>
  <si>
    <t xml:space="preserve">Profit for the year</t>
  </si>
  <si>
    <t xml:space="preserve">  Operating profit before acquisition-related adjustments (Company APM, FY2023+ only)</t>
  </si>
  <si>
    <t xml:space="preserve">  Basic EPS (pence)</t>
  </si>
  <si>
    <t xml:space="preserve">  Diluted EPS (pence)</t>
  </si>
  <si>
    <t xml:space="preserve">  Ordinary dividend per share declared (pence, interim+final, EXCL. special)</t>
  </si>
  <si>
    <t xml:space="preserve">  Special dividend per share declared (pence)</t>
  </si>
  <si>
    <t xml:space="preserve">FW Thorpe plc (TFW) — Consolidated Balance Sheet, GBP thousands, at year end (30 June)</t>
  </si>
  <si>
    <t xml:space="preserve">Source: Consolidated Statement of Financial Position, Annual Report &amp; Accounts. FW Thorpe has carried essentially NO bank debt throughout the period — small European government/development loans appeared post-Zemper acquisition (peaking ~£2.9m at FY2023) and have since been paid down; this is fundamentally a net-cash company, unlike several others reviewed in this project series.</t>
  </si>
  <si>
    <t xml:space="preserve">Non-current assets</t>
  </si>
  <si>
    <t xml:space="preserve">  Property, plant and equipment (incl. right-of-use assets)</t>
  </si>
  <si>
    <t xml:space="preserve">  Intangible assets (goodwill and other)</t>
  </si>
  <si>
    <t xml:space="preserve">  Investment properties</t>
  </si>
  <si>
    <t xml:space="preserve">  Equity-accounted joint venture (Ratio Holding B.V.)</t>
  </si>
  <si>
    <t xml:space="preserve">Total non-current assets</t>
  </si>
  <si>
    <t xml:space="preserve">Current assets</t>
  </si>
  <si>
    <t xml:space="preserve">  Inventories</t>
  </si>
  <si>
    <t xml:space="preserve">  Cash and cash equivalents</t>
  </si>
  <si>
    <t xml:space="preserve">  Other current assets not separately itemised (balancing)</t>
  </si>
  <si>
    <t xml:space="preserve">Total current assets</t>
  </si>
  <si>
    <t xml:space="preserve">Total assets</t>
  </si>
  <si>
    <t xml:space="preserve">Liabilities</t>
  </si>
  <si>
    <t xml:space="preserve">  Financial liabilities (bank/government loans)</t>
  </si>
  <si>
    <t xml:space="preserve">  Lease liabilities</t>
  </si>
  <si>
    <t xml:space="preserve">  Other liabilities not separately itemised (balancing, incl. trade payables, tax, provisions)</t>
  </si>
  <si>
    <t xml:space="preserve">Total liabilities</t>
  </si>
  <si>
    <t xml:space="preserve">Net assets / Total equity</t>
  </si>
  <si>
    <t xml:space="preserve">Check vs reported Net assets</t>
  </si>
  <si>
    <t xml:space="preserve">Net cash (derived, cash less financial liabilities, EXCL. lease liabilities — analyst convention)</t>
  </si>
  <si>
    <t xml:space="preserve">Shares in issue less treasury shares (millions, approx., analyst-derived from share capital notes)</t>
  </si>
  <si>
    <t xml:space="preserve">Net asset value per share (calc., pence)</t>
  </si>
  <si>
    <t xml:space="preserve">Memo — legacy pension scheme: FW Thorpe operates a funded HYBRID pension scheme (pre-Oct-1995 service defined-benefit; post-1995 the higher of DC or DB 'underpin'; members joining after Oct-1995 pure DC). The scheme has been in SURPLUS throughout FY2021-FY2025 (surplus of £2.2m-£4.4m each year), not a deficit — but under IAS19 the surplus is NOT recognised as a balance-sheet asset in any year because the trustees retain discretion over any surplus (no unconditional Company right of refund), so an asset-ceiling restriction reduces the recognised asset to nil throughout. This is a genuine balance-sheet strength (no pension deficit risk) that does not show up as a reported asset — see the Ownership/Valuation discussion for how this is treated.</t>
  </si>
  <si>
    <t xml:space="preserve">FW Thorpe plc (TFW) — Consolidated Cash Flow, GBP thousands</t>
  </si>
  <si>
    <t xml:space="preserve">Source: Consolidated Statement of Cash Flows, Annual Report &amp; Accounts, year ended 30 June. Free cash flow is an analyst-derived figure (net cash from operating activities less capex on PP&amp;E and capitalised intangibles/development costs) — FW Thorpe does not itself report a headline 'free cash flow' APM.</t>
  </si>
  <si>
    <t xml:space="preserve">Cash generated from operations</t>
  </si>
  <si>
    <t xml:space="preserve">Tax paid</t>
  </si>
  <si>
    <t xml:space="preserve">Net cash from operating activities</t>
  </si>
  <si>
    <t xml:space="preserve">Purchases of property, plant and equipment</t>
  </si>
  <si>
    <t xml:space="preserve">Purchases of intangibles / capitalised development costs</t>
  </si>
  <si>
    <t xml:space="preserve">Free cash flow (calc. = operating cash flow − capex − intangible capex)</t>
  </si>
  <si>
    <t xml:space="preserve">Acquisitions of subsidiaries, net of cash acquired</t>
  </si>
  <si>
    <t xml:space="preserve">Purchase of shares/depositary receipts in subsidiaries (minority buy-outs)</t>
  </si>
  <si>
    <t xml:space="preserve">Investment in / deferred consideration on joint venture</t>
  </si>
  <si>
    <t xml:space="preserve">Dividends paid</t>
  </si>
  <si>
    <t xml:space="preserve">Purchase of own shares (buyback)</t>
  </si>
  <si>
    <t xml:space="preserve">Net increase/(decrease) in cash and cash equivalents</t>
  </si>
  <si>
    <t xml:space="preserve">Reading note: free cash flow has been consistently positive and generally growing throughout, comfortably covering both the M&amp;A programme (Zemper Oct 2021, Ratio Holding JV and SchahlLED/Lumen Sept 2022, funded in FY2022-FY2023 without any need for debt) and a steadily rising dividend, entirely from internally generated cash. FY2025 marked the Company's FIRST-EVER share buyback (£3,135k, 1,080,000 shares), a new capital-return lever introduced once the acquisition programme matured and cash reserves had rebuilt — evidence of active, disciplined capital allocation rather than cash simply accumulating unused.</t>
  </si>
  <si>
    <t xml:space="preserve">FW Thorpe plc (TFW) — Company-Specific KPI Trends, FY2021-FY2025 (+H1FY2026)</t>
  </si>
  <si>
    <t xml:space="preserve">These KPIs tell FW Thorpe's real story: a UK-headquartered professional lighting manufacturer that grew from a single-country business into a multi-country group via disciplined, wholly cash-funded acquisitions (Zemper, Spain/France, Oct 2021; SchahlLED/Lumen, Germany, Sept 2022), while remaining consistently net cash and progressively increasing its dividend throughout. Source: Strategic Report, segmental notes and Alternative Performance Measures sections of each year's Annual Report &amp; Accounts, plus the FY2026 AGM trading statement and H1FY2026 interim report.</t>
  </si>
  <si>
    <t xml:space="preserve">Net cash (£'000, calc., linked to Balance Sheet tab)</t>
  </si>
  <si>
    <t xml:space="preserve">Ordinary dividend per share (pence, calc., linked to Income Statement tab, EXCL. special)</t>
  </si>
  <si>
    <t xml:space="preserve">Basic EPS (pence, calc., linked to Income Statement tab)</t>
  </si>
  <si>
    <t xml:space="preserve">Trendline charts — the three headline KPIs</t>
  </si>
  <si>
    <t xml:space="preserve">Revenue by business segment (external revenue, £'000)</t>
  </si>
  <si>
    <t xml:space="preserve">Segment count changed over the period as subsidiaries were added/merged: 10 operating segments (3 reportable) in FY2021; 11 operating (4 reportable) from FY2022 once Zemper was acquired; 12 operating (4 reportable) by FY2025; reduced to 10 operating segments by H1FY2026 after Thorlux Lighting LLC was closed and Thorlux Lighting GmbH was merged into SchahlLED Lighting GmbH. FY2023's segment-level split by this classification was not separately re-extracted in the research pass behind this workbook (available in the FY2023 Annual Report's own segmental note if needed) — shown as 'n/a' below.</t>
  </si>
  <si>
    <t xml:space="preserve">Thorlux (UK core + Philip Payne, Solite, Portland, TRT, and overseas Thorlux units)</t>
  </si>
  <si>
    <t xml:space="preserve">Netherlands companies (Lightronics, Famostar)</t>
  </si>
  <si>
    <t xml:space="preserve">Zemper Group (Spain/France — acquired Oct 2021)</t>
  </si>
  <si>
    <t xml:space="preserve">Other companies</t>
  </si>
  <si>
    <t xml:space="preserve">Total (calc., ties to Income Statement Revenue row where all 4 segments available)</t>
  </si>
  <si>
    <t xml:space="preserve">Revenue by geography (external revenue, £'000)</t>
  </si>
  <si>
    <t xml:space="preserve">FY2022 was RESTATED in the FY2023 Annual Report to break out Germany as a separate geographic line following the SchahlLED acquisition (Sept 2022) — this is a presentational restatement only; FY2022's total revenue (£143,715k) is unchanged.</t>
  </si>
  <si>
    <t xml:space="preserve">UK</t>
  </si>
  <si>
    <t xml:space="preserve">Netherlands</t>
  </si>
  <si>
    <t xml:space="preserve">Germany (separate line from FY2022 restatement onward)</t>
  </si>
  <si>
    <t xml:space="preserve">Rest of Europe</t>
  </si>
  <si>
    <t xml:space="preserve">Rest of World</t>
  </si>
  <si>
    <t xml:space="preserve">Total (calc., ties to Income Statement Revenue row)</t>
  </si>
  <si>
    <t xml:space="preserve">Headcount and R&amp;D</t>
  </si>
  <si>
    <t xml:space="preserve">Average Group headcount</t>
  </si>
  <si>
    <t xml:space="preserve">UK R&amp;D tax-credit claimed (£'000)</t>
  </si>
  <si>
    <t xml:space="preserve">H1FY2026 (interim, 31 Dec 2025, most recent primary data point): revenue £81.7m (-2.4% YoY), operating profit £11.6m (flat), PBT +3.1%, EPS +2.7% to 7.86p. Germany (SchahlLED) and Netherlands (Lightronics) both described as underperforming amid 'the widely acknowledged recession' in German industry; Thorlux UK broadly flat, other UK companies growing. Interim ordinary dividend raised to 1.81p (+2.8%) plus a 2.60p special dividend declared. No profit warning issued — management language throughout FY2025 and H1FY2026 describes a managed, on-plan slowdown ('stable,' 'in line with last year's,' 'general malaise') rather than a shock.</t>
  </si>
  <si>
    <t xml:space="preserve">Acquisition history (context for segment and balance-sheet changes)</t>
  </si>
  <si>
    <t xml:space="preserve">Oct 2021</t>
  </si>
  <si>
    <t xml:space="preserve">Electrozemper S.A. (Spain, "Zemper Group") acquired, ~63% initial stake — £37.2m total commitment (£19.9m cash + redemption liability for the balance, to be bought out over time based on performance). Goodwill £18.3m.</t>
  </si>
  <si>
    <t xml:space="preserve">Ratio Holding B.V. (Netherlands) — 50% joint venture, equity-accounted, initial investment £4,958k. Loss-making in every year since FY2023.</t>
  </si>
  <si>
    <t xml:space="preserve">Sept 2022</t>
  </si>
  <si>
    <t xml:space="preserve">SchahlLED Lighting GmbH (Germany), via Lumen Intelligence Holding GmbH — 80% stake, ~£12.8m initial consideration. Goodwill £14.3m; remaining 20% to be funded from future cash generation.</t>
  </si>
  <si>
    <t xml:space="preserve">Company's FIRST-EVER share buyback (£3,135k, 1,080,000 shares) — a new capital-return lever introduced once the acquisition programme matured.</t>
  </si>
  <si>
    <t xml:space="preserve">FW Thorpe plc (TFW) — Year-by-Year Sentiment and Management Quality Assessment</t>
  </si>
  <si>
    <t xml:space="preserve">Subjective scores assigned by the analyst (Claude) after reading each year's Chairman's Statement and Strategic Report in chronological order, without reference to the share price. Sentiment: 0=bad, 10=extremely positive. Management quality: 0=fraud/convictions, 10=outstanding/management saved the day. These are judgment calls, not derived from any formula — read the rationale column, not just the score.</t>
  </si>
  <si>
    <t xml:space="preserve">Year</t>
  </si>
  <si>
    <t xml:space="preserve">Sentiment
(0-10)</t>
  </si>
  <si>
    <t xml:space="preserve">Mgmt Quality
(0-10)</t>
  </si>
  <si>
    <t xml:space="preserve">Profit before tax (£m)</t>
  </si>
  <si>
    <t xml:space="preserve">Rationale</t>
  </si>
  <si>
    <t xml:space="preserve">Revenue grew modestly to £117.9m from £113.3m in FY2020 despite continuing COVID-19 disruption, and profit before tax rose to £20.1m. A fire at the Lightronics (Netherlands) facility during the year was absorbed with a net insurance-recovery credit of £1.6m rather than a material loss. The Group carried essentially no bank debt throughout, and dividend growth resumed after the pandemic-era caution typical of many UK small-caps in FY2020.
MGMT: Navigating both pandemic disruption and an unrelated facility fire in the same year without a material profit or balance-sheet setback — and without needing external financing — speaks to a resilient, conservatively-financed operating model. A clean, undramatic year given the backdrop.</t>
  </si>
  <si>
    <t xml:space="preserve">The Group completed its first major acquisition in some years — Electrozemper S.A. (Spain/France, 'Zemper Group'), a ~63% stake for a total committed consideration of £37.2m — while also establishing a new 50% joint venture, Ratio Holding B.V. (Netherlands). Revenue grew 22% to £143.7m and profit before tax rose to £24.1m. The Group funded both moves entirely from its own cash reserves, requiring no new debt, and still paid a special dividend (2.20p final, 2.27p interim) on top of continued ordinary dividend growth.
MGMT: A well-timed return to acquisitive growth after a long period of organic-only expansion, funded entirely from the balance sheet's own strength — precisely the disciplined, patient capital allocation a family-influenced, net-cash company is best placed to execute. Rewarding shareholders with a special dividend in the same year as a major acquisition, rather than treating the two as competing uses of cash, reflects confidence in underlying cash generation.</t>
  </si>
  <si>
    <t xml:space="preserve">A second major acquisition, SchahlLED Lighting GmbH (Germany, 80% via Lumen Intelligence Holding GmbH), drove revenue up a further 23% to £176.7m and profit before tax to £26.9m. However, the Ratio Holding B.V. joint venture established the prior year swung to a £520k loss, the first sign of integration difficulty in the newly-acquired growth vehicles. The year's TOTAL dividend paid fell to 6.23p (from 10.32p in FY2022) purely because no special dividend was declared that year — the ordinary dividend itself continued to grow.
MGMT: Continued acquisitive expansion executed without financial strain, but the JV's swing to loss is the first concrete sign that not every element of the new group-of-companies structure is performing to plan — worth watching rather than dismissing, especially as it would go on to widen in subsequent years. The dividend-total optics this year (a like-for-like decline once specials are stripped out) is a good example of how headline dividend figures can mislead without separating ordinary and special components.</t>
  </si>
  <si>
    <t xml:space="preserve">Profit before tax grew to £29.9m despite revenue being roughly flat (£175.8m vs £176.7m). The year's most significant development was governance rather than financial: Craig Muncaster became SOLE Group Chief Executive in July 2024, with Mike Allcock relinquishing his prior combined Chairman-and-Joint-CEO role to become a purely non-executive Chairman — resolving a genuine governance weakness (a combined Chair/CEO role) that had existed since 2017. A special dividend (2.50p) was reintroduced. The Ratio Holding JV loss widened further to £826k.
MGMT: Proactively separating the Chairman and CEO roles, well ahead of any external pressure to do so, is a clear positive governance step that strengthens the check-and-balance structure around executive management — genuinely credit-worthy, and the kind of change worth naming explicitly rather than treating governance structure as a static backdrop. Margin discipline (PBT growth on flat revenue) in the same year reflects competent underlying execution.</t>
  </si>
  <si>
    <t xml:space="preserve">Profit before tax reached a record £31.6m even as revenue was essentially flat (-0.3%) and the Chairman's own commentary described 'conditions becoming harder,' with Germany (SchahlLED) explicitly in recession (revenue down from £15m to £11m) and France (Zemper) also slowing, partly offset by strong growth in Zemper's new product lines and solid UK performance elsewhere. The Group completed its first-ever share buyback (£3.1m) alongside continued dividend growth (7.12p total, +5.0%). The Ratio Holding JV loss widened again to £1.36m, now three consecutive years of losses since acquisition.
MGMT: Transparently acknowledging harder trading conditions rather than papering over a flat revenue year with optimistic framing reflects well on disclosure quality, and adding a buyback as a second capital-return lever once the acquisition programme matured is sensible, disciplined capital allocation. The Ratio Holding JV's now three-year run of widening losses is the one recurring item that has not been addressed or explained in the sources reviewed, and is a fair point of ongoing scrutiny.</t>
  </si>
  <si>
    <t xml:space="preserve">H1 2026 (interim, most recent data point — interim report 5 Mar 2026 and AGM trading statement 20 Nov 2025; not scored)</t>
  </si>
  <si>
    <t xml:space="preserve">Revenue -2.4% to £81.7m, operating profit flat at £11.6m, PBT +3.1%, EPS +2.7% to 7.86p. Germany and the Netherlands both described as underperforming amid ongoing German industrial-sector weakness; Thorlux UK broadly flat, most other UK subsidiaries growing. Interim ordinary dividend raised to 1.81p (+2.8%) plus a 2.60p special dividend. The 20 Nov 2025 AGM statement described results as 'in line with last year's,' explicitly acknowledged 'the general malaise seen elsewhere in UK and EU lighting markets' and that 'the Group is finding it challenging to take a step forward in its revenues,' while continuing to invest in product innovation. No profit warning was issued at any point in this window — the tone throughout is of a managed, on-plan slowdown communicated candidly, not a surprise deterioration.</t>
  </si>
  <si>
    <t xml:space="preserve">Recurring findings across the five-year window</t>
  </si>
  <si>
    <t xml:space="preserve">• FW Thorpe transformed from a UK-centric lighting manufacturer into a genuine multi-country group over FY2022-FY2023, via two wholly cash-funded acquisitions (Zemper in Spain/France, SchahlLED in Germany) requiring no new debt at any point — a demonstration of the balance sheet strength that a long-run net-cash, family-influenced capital-allocation culture makes possible.</t>
  </si>
  <si>
    <t xml:space="preserve">• Earnings are clean and free of the impairments, exceptional write-downs, or distressed accounting seen in several other companies reviewed in this project series — the only exceptional item in the entire five-year window (FY2021's Lightronics fire recovery) was a CREDIT, not a charge.</t>
  </si>
  <si>
    <t xml:space="preserve">• The Ratio Holding B.V. joint venture (50%, Netherlands, from FY2022) is the one recurring soft spot: three consecutive years of widening losses (FY2023: -£520k, FY2024: -£826k, FY2025: -£1,360k) with no explanation of a turnaround plan found in the sources reviewed — small in absolute scale but worth monitoring as the one unresolved thread in an otherwise clean operating record.</t>
  </si>
  <si>
    <t xml:space="preserve">• A meaningful governance improvement occurred in FY2024: separating the previously-combined Chairman and CEO roles (Mike Allcock stepping back to pure Chairman; Craig Muncaster becoming sole CEO), addressing a genuine board-structure weakness proactively rather than under external pressure.</t>
  </si>
  <si>
    <t xml:space="preserve">• Headline 'total dividend paid' figures are not monotonically increasing once special dividends are included (10.32p FY2022 to 6.23p FY2023, for instance) purely because specials are irregular — the ORDINARY dividend (interim+final, excluding specials) has grown every single year of the window, and this is the series the Company itself uses when citing its long dividend-growth track record. Any year-on-year dividend comparison in this document separates the two components for exactly this reason.</t>
  </si>
  <si>
    <t xml:space="preserve">• Trading genuinely softened into FY2025 and H1FY2026 (Germany in recession, France slowing, UK described as flat-to-challenging), but management's own language throughout has been candid and measured ('conditions becoming harder,' 'a stable performance,' 'the general malaise') rather than alarmed — and no profit warning was issued at any point in the window reviewed.</t>
  </si>
  <si>
    <t xml:space="preserve">FW Thorpe plc (TFW) — Value Range, Built Without Reference to the Current Share Price</t>
  </si>
  <si>
    <t xml:space="preserve">Method: P/E as the PRIMARY multiple, cross-checked against EV/EBITDA and a dividend-yield method — the framework recommended by dedicated peer/market research as how this specific industry is actually valued. Unlike several other companies reviewed in this project series, FW Thorpe has CLEAN, undistorted statutory earnings (no impairments, no exceptional charges beyond a single insurance-recovery credit in FY2021) — so, unusually for this series, a straightforward earnings multiple is the most appropriate PRIMARY lens, not a fallback. EV/EBITDA is a necessary secondary check given the Company's substantial net-cash position (~21% of market cap per market-data research), and dividend yield is a further cross-check given FW Thorpe's long progressive-dividend, 'dividend hero' profile. All inputs are assumptions, clearly labelled — change the yellow cells to test sensitivity.</t>
  </si>
  <si>
    <t xml:space="preserve">Step 1 — Starting point: FY2025 EPS, EBITDA (company-disclosed segmental basis), ordinary dividend, net cash and shares in issue</t>
  </si>
  <si>
    <t xml:space="preserve">FY2025 basic EPS (pence, calc., linked to Income Statement tab)</t>
  </si>
  <si>
    <t xml:space="preserve">  Why the single latest year, not a multi-year average: unlike several other companies in this series, FW Thorpe's earnings are clean and have grown consistently every year of the five reviewed (no one-off distortion to smooth out) — using the latest actual, audited EPS is a defensible and more current base than averaging in weaker, superseded years.</t>
  </si>
  <si>
    <t xml:space="preserve">FY2025 EBITDA (£'000, Company-disclosed segmental basis, per the FY2025 Annual Report segmental note)</t>
  </si>
  <si>
    <t xml:space="preserve">FY2025 ordinary dividend per share (pence, calc., linked to Income Statement tab, EXCL. special)</t>
  </si>
  <si>
    <t xml:space="preserve">FY2025 net cash (£'000, calc., linked to Balance Sheet tab)</t>
  </si>
  <si>
    <t xml:space="preserve">Shares in issue (millions; FY2025 year end, less treasury shares)</t>
  </si>
  <si>
    <t xml:space="preserve">  memo: web-sourced FY2026 (calendar) market data shows a somewhat lower net-cash figure (~£52.9m at 31 Dec 2025) and lower share count (~112m) than the FY2025 Annual Report figures used above — reflecting later balance-sheet dates and continued buybacks; the FY2025 Annual Report figures are used throughout for internal consistency with the EPS/EBITDA/dividend bases above, all drawn from the same reporting date.</t>
  </si>
  <si>
    <t xml:space="preserve">Step 2 — Assumptions: multiples and required yield applied (edit the yellow cells to test sensitivity)</t>
  </si>
  <si>
    <t xml:space="preserve">Assumption</t>
  </si>
  <si>
    <t xml:space="preserve">Low case</t>
  </si>
  <si>
    <t xml:space="preserve">Central case</t>
  </si>
  <si>
    <t xml:space="preserve">High case</t>
  </si>
  <si>
    <t xml:space="preserve">Basis</t>
  </si>
  <si>
    <t xml:space="preserve">P/E multiple (x) — PRIMARY method</t>
  </si>
  <si>
    <t xml:space="preserve">Anchored against the Peer Comparison below: Renold (~6.5x) is the low-quality-premium UK small-cap industrial floor; the three direct listed lighting peers (Zumtobel ~14.5x, Signify ~8.0x forward, Fagerhult ~16.8x) bracket a central estimate close to their own average (~13.1x); Halma/Rotork/Volution (23-36x) are excluded as scale/diversification-driven outliers, not applicable multiples for a company of TFW's size. Central case (12.0x) sits between Signify's more cautious forward multiple and the Zumtobel/Fagerhult range, reflecting TFW's smaller scale and thinner analyst coverage relative to those direct peers, while crediting its cleaner balance sheet and family-aligned capital discipline. Low case (9.0x) sits above Renold's 6.5x floor, reflecting TFW's materially higher quality (net cash, no leverage, consistent profit growth) even in a conservative scenario. High case (15.0x) sits just below the direct-peer average, short of assuming a full re-rating to Fagerhult's level.</t>
  </si>
  <si>
    <t xml:space="preserve">EV/EBITDA multiple (x) — secondary cross-check</t>
  </si>
  <si>
    <t xml:space="preserve">Checked against the same peers: Zumtobel (~4.6x) and Renold (~3.9x) anchor the low end; Signify (~6.1x) sits centrally; Fagerhult's 14.5x is treated with caution per the peer research (flagged as possibly distorted by a re-rating cycle or dividend-timing effect) rather than used as a ceiling. Central case (7.0x) sits above Zumtobel and close to Signify, crediting TFW's superior balance sheet quality (material net cash, versus Zumtobel's more leveraged, lower-margin profile) without assuming a re-rating to Fagerhult's level.</t>
  </si>
  <si>
    <t xml:space="preserve">Required dividend yield (%) — tertiary cross-check</t>
  </si>
  <si>
    <t xml:space="preserve">Anchored against Zumtobel's 3.84% trailing yield — the closest direct-peer income comparator with a normal (non-distorted) yield, since Fagerhult's 6.32% and Signify's 6.19% are both flagged in the peer research as running higher than would be expected for their respective profiles (special-dividend timing or FX effects for Fagerhult; Signify's larger scale/lower growth profile). Central case (3.75%) sits close to Zumtobel; low case (4.5%, i.e. a MORE conservative, LOWER value) and high case (3.0%, a less conservative, HIGHER value) bracket it. Dividend-yield methods generally understate a growth-reinvesting compounder's value since they capture only the payout, not retained earnings — this is why the method is treated as a tertiary cross-check, not the primary.</t>
  </si>
  <si>
    <t xml:space="preserve">Step 3 — Implied value per share by method</t>
  </si>
  <si>
    <t xml:space="preserve">Low</t>
  </si>
  <si>
    <t xml:space="preserve">Central</t>
  </si>
  <si>
    <t xml:space="preserve">High</t>
  </si>
  <si>
    <t xml:space="preserve">PRIMARY — P/E method (FY2025 basic EPS base)</t>
  </si>
  <si>
    <t xml:space="preserve">  Value per share (pence) = EPS x multiple</t>
  </si>
  <si>
    <t xml:space="preserve">CROSS-CHECK — EV/EBITDA method (FY2025 EBITDA base)</t>
  </si>
  <si>
    <t xml:space="preserve">  Implied enterprise value (£'000)</t>
  </si>
  <si>
    <t xml:space="preserve">  plus: net cash (£'000) = implied equity value (£'000)</t>
  </si>
  <si>
    <t xml:space="preserve">  Value per share (pence)</t>
  </si>
  <si>
    <t xml:space="preserve">CROSS-CHECK — Dividend yield method (FY2025 ordinary dividend base, EXCL. special)</t>
  </si>
  <si>
    <t xml:space="preserve">  Value per share (pence) = ordinary DPS / required yield</t>
  </si>
  <si>
    <t xml:space="preserve">SUMMARY — value range, current price deliberately excluded from this analysis</t>
  </si>
  <si>
    <t xml:space="preserve">Value per share (pence) — P/E method (PRIMARY)</t>
  </si>
  <si>
    <t xml:space="preserve">  memo: cross-check — EV/EBITDA method (pence)</t>
  </si>
  <si>
    <t xml:space="preserve">  memo: cross-check — dividend yield method (pence)</t>
  </si>
  <si>
    <t xml:space="preserve">• This is a mechanical output of the stated assumptions, not a target price. Move the yellow cells and the range moves with them — that is deliberate, so you can see exactly what each judgment call is worth.</t>
  </si>
  <si>
    <t xml:space="preserve">• Deliberately excludes the current share price throughout, per the brief. Compare this range to the market price yourself as a separate step.</t>
  </si>
  <si>
    <t xml:space="preserve">• The dividend-yield cross-check is the most conservative of the three methods, as expected: it captures only the payout FW Thorpe chooses to distribute, not the larger share of earnings it retains for acquisitions, buybacks and organic reinvestment — a structural understatement for any growth-reinvesting compounder, which is why it is a tertiary check, not the primary method.</t>
  </si>
  <si>
    <t xml:space="preserve">• This valuation does not build a full discounted cash flow (DCF) model — the peer research behind this workbook recommends a DCF only as a further sanity check, using UK gilt yields (5.15%, 28 Aug 2026) plus an equity risk premium and small-cap size premium that were not pinned to a precise, current, UK-specific figure in the research pass. A reader wanting that additional cross-check should pull current ERP/size-premium figures directly (Damodaran, Kroll Cost of Capital Navigator) before building it.</t>
  </si>
  <si>
    <t xml:space="preserve">• Not verified against any primary document beyond what was read in this session — treat every figure as provisional until independently checked, per the project's standing rule that no number enters a decision without primary-source verification.</t>
  </si>
  <si>
    <t xml:space="preserve">• FW Thorpe's legacy pension scheme is in SURPLUS (see Balance Sheet tab) but that surplus is not recognised as a balance-sheet asset (IAS19 asset-ceiling restriction) and is NOT added to net cash in the EV/EBITDA method above — a conservative simplification, since the trustees retain discretion over the surplus and the Company has no unconditional right to it.</t>
  </si>
  <si>
    <t xml:space="preserve">PEER COMPARISON — sanity-checking the assumptions against 7 sourced comparables</t>
  </si>
  <si>
    <t xml:space="preserve">Why this section exists: there is no single clean comp for FW Thorpe. The set below spans direct listed European lighting-sector peers (Zumtobel, Fagerhult, Signify), a UK small-cap industrial-manufacturer floor without FW Thorpe's balance-sheet/governance quality premium (Renold), and UK quality/style references illustrating the multiple ceiling that scale and diversification can command (Halma, Rotork, Volution) — useful for framing a possible re-rating, not for direct multiple application. Data as of ~25-29 Aug 2026. TFW is deliberately excluded from this table — the point is to check the assumptions against the market, not to price TFW directly off peer multiples.</t>
  </si>
  <si>
    <t xml:space="preserve">Why these 7, specifically</t>
  </si>
  <si>
    <t xml:space="preserve">Zumtobel Group AG (Austria) — live, Vienna-listed</t>
  </si>
  <si>
    <t xml:space="preserve">The closest DIRECT, pure-play professional/architectural lighting peer by product and customer type (indoor/outdoor lighting for commercial, industrial and public buildings) — genuinely the same industry. Weaker on quality/margin profile than TFW (more leveraged, more cyclical, lower and less consistent profitability historically), which likely explains its low EV/EBITDA (4.6x) despite a broadly comparable P/E (14.5x). Useful as the closest OPERATIONAL peer, with quality caveats.</t>
  </si>
  <si>
    <t xml:space="preserve">Fagerhult Group AB (Sweden) — live, Stockholm-listed</t>
  </si>
  <si>
    <t xml:space="preserve">The other closest direct listed lighting peer (indoor/outdoor professional lighting across Northern Europe, similar end-markets to Thorlux). Trades at a materially higher EV/EBITDA (14.5x) and P/E (16.8x) alongside a high dividend yield (6.3%) — the peer research flags this yield as possibly overstated by special-dividend timing or FX effects and recommends treating it with caution rather than as a clean income comparator.</t>
  </si>
  <si>
    <t xml:space="preserve">Signify NV (Netherlands) — live, Amsterdam-listed</t>
  </si>
  <si>
    <t xml:space="preserve">Far larger and more diversified (consumer + professional + horticultural lighting, global footprint) — not a like-for-like on scale or mix, but relevant as the scale/competitive benchmark smaller lighting players are measured against, and as evidence that even the largest listed lighting company currently trades on a single-digit forward P/E (~8.0x) with a high yield (~6.2%) — i.e., the market is pricing the broader lighting-manufacturing sector cautiously overall.</t>
  </si>
  <si>
    <t xml:space="preserve">Renold plc (UK) — live, AIM-listed</t>
  </si>
  <si>
    <t xml:space="preserve">A UK AIM-listed industrial-component manufacturer (chains, torque-transmission products) of broadly similar market-cap scale to TFW, but with a materially different quality/balance-sheet profile (more leveraged, more cyclical, lower and less consistent dividend, no comparable net-cash position or family-ownership structure). Its low multiples (6.5x P/E, 3.9x EV/EBITDA) are a useful LOWER-BOUND reference for a UK small-cap industrial manufacturer without TFW's balance-sheet and governance quality premium — the gap between Renold's rating and TFW's is a reasonable proxy for what the market pays for TFW's net cash, family alignment and dividend consistency, holding 'UK small-cap industrial manufacturer' constant.</t>
  </si>
  <si>
    <t xml:space="preserve">Halma plc (UK) — live, Main Market (quality ceiling, not a valuation anchor)</t>
  </si>
  <si>
    <t xml:space="preserve">A UK-listed, high-quality, decentralised group-of-subsidiaries industrial/safety-technology company with a very long progressive-dividend history — similar in CULTURAL positioning (long-termism, decentralised model) to how TFW is often described, but ~46x TFW's market cap, far more diversified (life sciences, environmental/analysis, safety — lighting is not part of its mix), and trading on multiples (36x P/E, 21.8x EV/EBITDA) reflecting decades of structural growth TFW has not yet earned in its own rating. An aspirational STYLE reference only.</t>
  </si>
  <si>
    <t xml:space="preserve">Rotork plc (UK) — live, Main Market (quality ceiling, not a valuation anchor)</t>
  </si>
  <si>
    <t xml:space="preserve">A similarly-styled UK industrial-equipment company (flow-control/actuation) with a reputation for quality and reliability-critical end markets, but much larger (~£4bn) and trading on growth/quality multiples (26.5x forward P/E, 21.1x EV/EBITDA) reflecting global market leadership in its own niche and diversification across oil &amp; gas/water/chemical end-markets. A directional quality-premium reference only, not comparable in scale.</t>
  </si>
  <si>
    <t xml:space="preserve">Volution Group plc (UK) — live, Main Market</t>
  </si>
  <si>
    <t xml:space="preserve">A UK-listed ventilation-products manufacturer with a market cap larger than TFW but a genuinely similar STYLE: building-products/construction-cycle exposure, founder/management-driven capital discipline, consistent M&amp;A-led growth — and a market that has rewarded it with a premium rating (23.7x P/E, 13.2x EV/EBITDA) relative to TFW. Useful as a 'what a well-executed UK building-products compounder can command' reference, though more acquisitive/growth-oriented and less net-cash-concentrated than TFW, and not a lighting-sector peer.</t>
  </si>
  <si>
    <t xml:space="preserve">Peer</t>
  </si>
  <si>
    <t xml:space="preserve">P/E (x)</t>
  </si>
  <si>
    <t xml:space="preserve">EV/EBITDA (x)</t>
  </si>
  <si>
    <t xml:space="preserve">EV/Revenue (x)</t>
  </si>
  <si>
    <t xml:space="preserve">Div. yield (%)</t>
  </si>
  <si>
    <t xml:space="preserve">Data as of</t>
  </si>
  <si>
    <t xml:space="preserve">Zumtobel Group AG</t>
  </si>
  <si>
    <t xml:space="preserve">~12 Jun 2026</t>
  </si>
  <si>
    <t xml:space="preserve">Fagerhult Group AB</t>
  </si>
  <si>
    <t xml:space="preserve">29 Aug 2026</t>
  </si>
  <si>
    <t xml:space="preserve">Signify NV</t>
  </si>
  <si>
    <t xml:space="preserve">Renold plc</t>
  </si>
  <si>
    <t xml:space="preserve">~28 Aug 2026</t>
  </si>
  <si>
    <t xml:space="preserve">Halma plc</t>
  </si>
  <si>
    <t xml:space="preserve">25 Aug 2026</t>
  </si>
  <si>
    <t xml:space="preserve">Rotork plc</t>
  </si>
  <si>
    <t xml:space="preserve">Volution Group plc</t>
  </si>
  <si>
    <t xml:space="preserve">Direct lighting-peer average (Zumtobel, Fagerhult, Signify only)</t>
  </si>
  <si>
    <t xml:space="preserve">TFW — assumption-implied P/E and EV/EBITDA, central case (for comparison to the peer rows above)</t>
  </si>
  <si>
    <t xml:space="preserve">How this squares: TFW's central-case P/E assumption of 12.0x sits below the direct lighting-peer average (~13.1x across Zumtobel/Fagerhult/Signify), reasonably reflecting TFW's smaller scale and thinner analyst coverage relative to those direct peers, while sitting well above Renold's 6.5x low-quality-premium floor — appropriate given TFW's materially stronger balance sheet and cleaner earnings than Renold. The EV/EBITDA central case (7.0x) sits above Zumtobel (4.6x) and close to Signify (6.1x), crediting TFW's net-cash balance sheet without assuming a re-rating to Fagerhult's 14.5x, which the peer research itself flags as needing a sense-check. Net effect: the peer table does not suggest either assumption needs to move materially — both are anchored specifically against the closest available direct-sector comparables, with the UK quality-ceiling names (Halma, Rotork, Volution) used only to frame how much upside a demonstrated re-rating could represent, not as multiples to apply now.</t>
  </si>
  <si>
    <t xml:space="preserve">ASSUMPTIONS vs MARKET EXPECTATIONS — how each input was checked, and where judgment diverges</t>
  </si>
  <si>
    <t xml:space="preserve">This section checks the assumptions above against independently-sourced market data (not against TFW's own share price, which is deliberately excluded from this entire valuation) — as of 25-29 Aug 2026.</t>
  </si>
  <si>
    <t xml:space="preserve">Where this diverges from a strict market read, and why</t>
  </si>
  <si>
    <t xml:space="preserve">P/E multiple (9.0x / 12.0x / 15.0x)</t>
  </si>
  <si>
    <t xml:space="preserve">Checked directly against the 3 direct lighting-sector peers (Zumtobel 14.5x, Signify 8.0x forward, Fagerhult 16.8x) and the UK small-cap industrial floor (Renold 6.5x) in the Peer Comparison above.</t>
  </si>
  <si>
    <t xml:space="preserve">No TFW-specific sell-side consensus P/E target was located via public sources in this research pass (as an AIM small-cap, formal analyst coverage is likely thin) — these cross-checks are grounded in comparable-company data only, not in any independent analyst view of TFW itself.</t>
  </si>
  <si>
    <t xml:space="preserve">EV/EBITDA multiple (5.0x / 7.0x / 9.5x)</t>
  </si>
  <si>
    <t xml:space="preserve">Checked against the same 3 direct peers (Zumtobel 4.6x, Signify 6.1x, Fagerhult 14.5x) and Renold (3.9x).</t>
  </si>
  <si>
    <t xml:space="preserve">Fagerhult's 14.5x was deliberately NOT used to anchor the high case, since the peer research itself flags this figure as possibly distorted (special-dividend timing or FX effects) rather than a clean reflection of sustainable market pricing for this business type.</t>
  </si>
  <si>
    <t xml:space="preserve">Required dividend yield (4.5% / 3.75% / 3.0%)</t>
  </si>
  <si>
    <t xml:space="preserve">Checked against Zumtobel's 3.84% trailing yield — the peer research's own recommended anchor, since Fagerhult's 6.32% and Signify's 6.19% are both flagged as running higher than their respective quality/growth profiles would suggest.</t>
  </si>
  <si>
    <t xml:space="preserve">This is the most conservative of the three valuation methods by construction (see Step 3 note) — a dividend-yield lens systematically understates a growth-reinvesting compounder like TFW, which retains the majority of its earnings for acquisitions, buybacks and organic investment rather than distributing them.</t>
  </si>
  <si>
    <t xml:space="preserve">Discount-rate context (for a reader who wants to build a full DCF cross-check)</t>
  </si>
  <si>
    <t xml:space="preserve">UK 10-year gilt yield: 5.15% (28 Aug 2026, tradingeconomics.com). A UK-specific, current equity risk premium and AIM/small-cap size premium were not pinned to precise current figures in the research pass behind this workbook.</t>
  </si>
  <si>
    <t xml:space="preserve">The peer research recommends, absent a precisely-sourced current figure, a defensible round-number convention of roughly 5.5% UK ERP + 2-3% small-cap size premium (≈12.5-13.5% nominal cost of equity before any AIM-specific illiquidity add-on) — flagged explicitly as a convention, not a precisely sourced figure, consistent with how the equivalent gap was handled for other companies in this series. No DCF is built in this workbook; a reader wanting one should pull current figures from Damodaran's dataset or Kroll's Cost of Capital Navigator first.</t>
  </si>
  <si>
    <t xml:space="preserve">  Sources: peer/market data as tabulated above; tradingeconomics.com (UK 10-year gilt yield, 28 Aug 2026); dedicated peer/valuation research pass, 29 Aug 2026.</t>
  </si>
  <si>
    <t xml:space="preserve">Note: this valuation deliberately does not compare the range above to TFW's current market price at any point. That comparison is a separate step, to be taken only after the figures above have been checked.</t>
  </si>
  <si>
    <t xml:space="preserve">FW Thorpe plc (TFW) — Ownership &amp; Governance Structure</t>
  </si>
  <si>
    <t xml:space="preserve">Primary sources: FY2025 Annual Report &amp; Accounts (Directors' Report substantial-shareholdings table, Remuneration Report beneficial-interest table, Corporate Governance Report for board roster/independence, Share Capital note, ESOP/LTIP circular Notice of General Meeting May 2024). FW Thorpe is AIM-listed, NOT Main Market — it follows AIM Rule 17 / Schedule Two paragraph (g), a once-a-year, annual-report-only substantial-shareholder disclosure duty (3%+ of voting rights, EXCLUDING directors' own holdings, which are disclosed separately) — materially lighter than the Main Market's continuous DTR5/TR-1 regime used elsewhere in this project series. One item below is flagged SECONDARY/web-sourced and not yet cross-checked against a primary TFW filing: a 24 Dec 2025 Investegate RNS showing the Brangwin Trust's holding reduced to 3.96%, which postdates the FY2025 Annual Report.</t>
  </si>
  <si>
    <t xml:space="preserve">A. Share capital structure</t>
  </si>
  <si>
    <t xml:space="preserve">Ordinary shares in issue less treasury shares, approx. (FY2025 Annual Report, 30 Jun 2025; linked to Balance Sheet tab)</t>
  </si>
  <si>
    <t xml:space="preserve">m shares</t>
  </si>
  <si>
    <t xml:space="preserve">  memo: web-sourced, later (H1FY2026 / calendar 2025-26) market data shows a lower share count (~112m) reflecting the FY2025 buyback and further purchases — the FY2025 Annual Report figure above is used for internal consistency with the Valuation tab.</t>
  </si>
  <si>
    <t xml:space="preserve">Market capitalisation (secondary source, market-data research pass, ~28 Aug 2026) — for reference only, NOT used in the Valuation tab</t>
  </si>
  <si>
    <t xml:space="preserve">~£291m</t>
  </si>
  <si>
    <t xml:space="preserve">B. Board roster and independence classification, as at the FY2025 Annual Report</t>
  </si>
  <si>
    <t xml:space="preserve">Name</t>
  </si>
  <si>
    <t xml:space="preserve">Role</t>
  </si>
  <si>
    <t xml:space="preserve">Classification</t>
  </si>
  <si>
    <t xml:space="preserve">Family / Notes</t>
  </si>
  <si>
    <t xml:space="preserve">Mike Allcock</t>
  </si>
  <si>
    <t xml:space="preserve">Non-Executive Chairman</t>
  </si>
  <si>
    <t xml:space="preserve">Not independent (former long-serving executive; Chairman only from Jul 2024 role-split)</t>
  </si>
  <si>
    <t xml:space="preserve">Not a Thorpe-family member, but a long-tenured Company figure — classified not-independent on Code grounds, not family grounds.</t>
  </si>
  <si>
    <t xml:space="preserve">Craig Muncaster</t>
  </si>
  <si>
    <t xml:space="preserve">Chief Executive Officer (sole CEO from Jul 2024; previously CEO/FD combined)</t>
  </si>
  <si>
    <t xml:space="preserve">Executive (not independent)</t>
  </si>
  <si>
    <t xml:space="preserve">Not a Thorpe-family member. Role separated from the Chairman position Jul 2024 — a governance improvement (previously combined CEO/FD-adjacent responsibilities).</t>
  </si>
  <si>
    <t xml:space="preserve">James Thorpe</t>
  </si>
  <si>
    <t xml:space="preserve">Executive Director, Joint Managing Director, Thorlux Lighting</t>
  </si>
  <si>
    <t xml:space="preserve">THORPE FAMILY. Runs the largest operating subsidiary (Thorlux) day-to-day.</t>
  </si>
  <si>
    <t xml:space="preserve">Andrew Thorpe</t>
  </si>
  <si>
    <t xml:space="preserve">Non-Executive Director</t>
  </si>
  <si>
    <t xml:space="preserve">Not independent (Thorpe family)</t>
  </si>
  <si>
    <t xml:space="preserve">THORPE FAMILY. ~21.8% of issued capital individually (see Section C) — one of the largest single shareholdings.</t>
  </si>
  <si>
    <t xml:space="preserve">Ian Thorpe</t>
  </si>
  <si>
    <t xml:space="preserve">THORPE FAMILY. ~21.1% of issued capital individually (see Section C).</t>
  </si>
  <si>
    <t xml:space="preserve">Frans Haafkens</t>
  </si>
  <si>
    <t xml:space="preserve">Non-Executive Director; Audit &amp; Risk Committee Chair</t>
  </si>
  <si>
    <t xml:space="preserve">INDEPENDENT — the only independent director on the Board</t>
  </si>
  <si>
    <t xml:space="preserve">Appointed Oct 2022. Not a Thorpe-family member and holds no material shareholding disclosed. Sole independent check on a Board otherwise split between family NEDs/executives and long-tenured non-family executives.</t>
  </si>
  <si>
    <t xml:space="preserve">Board composition: 6 directors — 2 executives (CEO, James Thorpe), 1 non-independent Chairman, 2 non-independent Thorpe-family NEDs, and just 1 independent NED (Haafkens). This is NOT a majority-independent board by UK Corporate Governance Code standards — a direct consequence of, and consistent with, family control of ~45% of the share register (see Sections C and F).</t>
  </si>
  <si>
    <t xml:space="preserve">Recent board changes: Peter Mason (independent NED) retired Jan 2024; Frans Haafkens appointed Oct 2022; Chairman/CEO roles separated Jul 2024 (Allcock to Chairman-only, Muncaster to CEO-only) — a governance improvement, though it did not change the underlying independence balance.</t>
  </si>
  <si>
    <t xml:space="preserve">C. Directors' beneficial shareholdings (FY2025 Annual Report, audited)</t>
  </si>
  <si>
    <t xml:space="preserve">Director</t>
  </si>
  <si>
    <t xml:space="preserve">Shares held</t>
  </si>
  <si>
    <t xml:space="preserve">% of issued capital (calc.)</t>
  </si>
  <si>
    <t xml:space="preserve">Notes</t>
  </si>
  <si>
    <t xml:space="preserve">Andrew Thorpe (NED)</t>
  </si>
  <si>
    <t xml:space="preserve">THORPE FAMILY</t>
  </si>
  <si>
    <t xml:space="preserve">Ian Thorpe (NED)</t>
  </si>
  <si>
    <t xml:space="preserve">James Thorpe (Executive Director)</t>
  </si>
  <si>
    <t xml:space="preserve">THORPE FAMILY; combined with the two above, the three serving Thorpe-family directors hold 53,104,502 shares in total</t>
  </si>
  <si>
    <t xml:space="preserve">Craig Muncaster (CEO)</t>
  </si>
  <si>
    <t xml:space="preserve">Not Thorpe family; includes ESOP/LTIP interests — see Section E</t>
  </si>
  <si>
    <t xml:space="preserve">Mike Allcock (Chairman)</t>
  </si>
  <si>
    <t xml:space="preserve">Not Thorpe family</t>
  </si>
  <si>
    <t xml:space="preserve">Frans Haafkens (NED)</t>
  </si>
  <si>
    <t xml:space="preserve">No disclosed beneficial shareholding</t>
  </si>
  <si>
    <t xml:space="preserve">Total, all 6 current directors (calc.)</t>
  </si>
  <si>
    <t xml:space="preserve">As % of issued capital (calc., linked to Section A share count)</t>
  </si>
  <si>
    <t xml:space="preserve">  of which: the 3 serving Thorpe-family directors alone (Andrew + Ian + James Thorpe), % of issued capital (calc.)</t>
  </si>
  <si>
    <t xml:space="preserve">⚠ Because AIM Rule 17 substantial-shareholder disclosure (Section D below) EXCLUDES directors, the single largest and most governance-relevant ownership fact about FW Thorpe — that serving directors from the founding Thorpe family control roughly 45% of the Company between them — does NOT appear in the "substantial shareholders" table at all. It only becomes visible by reading the Remuneration Report's director-shareholding table, as done here.</t>
  </si>
  <si>
    <t xml:space="preserve">D. Substantial shareholders, 3%+ of voting rights, EXCLUDING directors (AIM Rule 17 / Schedule Two para. (g) — annual disclosure only)</t>
  </si>
  <si>
    <t xml:space="preserve">Holder</t>
  </si>
  <si>
    <t xml:space="preserve">% (FY2025 Annual Report)</t>
  </si>
  <si>
    <t xml:space="preserve">Nature of holder</t>
  </si>
  <si>
    <t xml:space="preserve">Liontrust Investment Partners LLP</t>
  </si>
  <si>
    <t xml:space="preserve">Conventional UK institutional/fund manager (incl. its "Special Situations" and UK smaller-companies fund ranges); no activist history found against TFW. Reported at 5.8% in the FY2025 Annual Report (5.7% in the prior year) — broadly stable.</t>
  </si>
  <si>
    <t xml:space="preserve">Mr N Brangwin / the Brangwin Trust (Estate)</t>
  </si>
  <si>
    <t xml:space="preserve">A long-standing individual/family estate holder, historically linked to the Company's early shareholder register — NOT part of the Thorpe founding family. Declining trend: 4.2% at the FY2025 Annual Report date, versus a higher prior-year figure.</t>
  </si>
  <si>
    <t xml:space="preserve">⚠ SECONDARY-SOURCE UPDATE, not yet in any TFW annual report — flagged, needs primary cross-check at next filing</t>
  </si>
  <si>
    <t xml:space="preserve">An Investegate RNS dated 24 December 2025 (found via the ownership research pass, not yet reconciled to a TFW annual report) shows the Brangwin Trust's holding reduced to approximately 3.96% of voting rights — a further decline from the 4.2% FY2025 Annual Report figure above. This is a genuine regulatory-style disclosure but postdates the FY2025 Annual Report; treat the 3.96% figure as indicative pending confirmation in the Company's next annual report (AIM's Rule 17 regime means the next confirmation point is the FY2026 Annual Report, not a continuous filing).</t>
  </si>
  <si>
    <t xml:space="preserve">E. Employee Share Ownership Plan (ESOP/LTIP) summary</t>
  </si>
  <si>
    <t xml:space="preserve">• Approved by shareholders at a General Meeting, per the Notice of General Meeting/circular (May 2024). Maximum dilution: up to 2.1 million shares, approx. 1.8% of issued capital at the time of approval.</t>
  </si>
  <si>
    <t xml:space="preserve">• 5-year vesting period (materially longer than the more common 3-year UK market-standard LTIP vesting, reflecting the Board's stated intent to reward sustained, long-term performance rather than short-term results).</t>
  </si>
  <si>
    <t xml:space="preserve">• Performance conditions: 80% weighted to EPS growth, 10% to relative Total Shareholder Return (TSR), 10% to ESG-related metrics — a conventional financial-metric-led structure with a modest, explicit ESG component.</t>
  </si>
  <si>
    <t xml:space="preserve">• Confirmed granted 30 May 2024 to Craig Muncaster (CEO) and James Thorpe (Executive Director) — the two most senior executives, one of whom (James Thorpe) is also a Thorpe-family shareholder in his own right (Section C).</t>
  </si>
  <si>
    <t xml:space="preserve">• Governance reading: a conventional, shareholder-approved, performance-conditioned incentive structure — unremarkable in its design, and its modest dilution ceiling (1.8%) is small relative to the ~45% the Thorpe family already holds outright, so it does not materially change the family's controlling economic position even at maximum vesting.</t>
  </si>
  <si>
    <t xml:space="preserve">F. Ownership concentration summary</t>
  </si>
  <si>
    <t xml:space="preserve">Thorpe family (3 serving directors) as % of issued capital (calc., linked above)</t>
  </si>
  <si>
    <t xml:space="preserve">All directors + Liontrust + Brangwin combined, approx. (calc.)</t>
  </si>
  <si>
    <t xml:space="preserve">• This is a founder-family-CONTROLLED company in economic terms: the three serving Thorpe-family directors hold roughly 45% of the issued share capital between them — far short of the 50%+ needed for an outright vote-count majority on ordinary resolutions, but easily enough, combined with normal small-cap AGM attendance/proxy patterns, to be functionally decisive on most matters that come to a shareholder vote.</t>
  </si>
  <si>
    <t xml:space="preserve">• No non-family shareholder comes close to the family's stake: Liontrust (~5.8%) and Brangwin (~4.2%, declining) are the only disclosed 3%+ non-family holders, and both are conventional, non-activist, financial holders.</t>
  </si>
  <si>
    <t xml:space="preserve">• Unlike SNWS, KMK, NAH and ARBB reviewed earlier in this project series (all dispersed-institutional-ownership companies with no controlling shareholder), TFW's governance dynamic is closer to the 'family control' pattern discussed in this project's existing Pernod Ricard trap-vs-value research note — the key question there, as here, is whether family control is being exercised for the benefit of all shareholders (disciplined capital allocation, professionalised day-to-day management) or in a way that could disadvantage minority holders (self-dealing, weak independent oversight, resistance to value-accretive corporate action). See Section G below for FW Thorpe's specific evidence on this question.</t>
  </si>
  <si>
    <t xml:space="preserve">• The Board itself reflects this concentration directly: 2 of 6 directors are Thorpe-family NEDs, a 3rd (James Thorpe) is a family executive director, and only 1 of 6 (Haafkens) is independent — a Board structure that would not meet UK Corporate Governance Code 'majority independent' expectations at a Main Market company, though AIM companies are not required to comply with the full Code.</t>
  </si>
  <si>
    <t xml:space="preserve">G. What this ownership structure means for governance (plain language)</t>
  </si>
  <si>
    <t xml:space="preserve">The core tension in any family-controlled company is whether the controlling family's interests are aligned with, or diverge from, minority shareholders' interests. FW Thorpe shows several concrete signs pointing toward alignment rather than divergence: day-to-day executive management has been progressively professionalised and separated from the family and from the Chairman role (Muncaster as sole CEO from Jul 2024, an internal long-tenured non-family executive, not a family member parachuted into the top operating job), and James Thorpe's own executive role (Joint MD of Thorlux) is an operating role with disclosed remuneration and normal LTIP participation, not a passive family sinecure.</t>
  </si>
  <si>
    <t xml:space="preserve">The Company's 23-year (per its own investor materials) run of increasing ordinary dividends, its net-cash balance sheet, and its habit of funding acquisitions from cash rather than debt or dilutive equity raises are all consistent with a family that benefits from the Company's cash generation primarily through dividends on its ~45% stake and through long-term share-price appreciation — rather than through related-party transactions, above-market remuneration, or other extraction mechanisms not visible in the ordinary financial statements reviewed here.</t>
  </si>
  <si>
    <t xml:space="preserve">Set against this: the Board's independence is thin by conventional (Main Market/Code) standards — a single independent NED (Haafkens) is a modest check, and AIM's lighter governance regime (no mandatory Code compliance, and the once-a-year Rule 17 disclosure that keeps the family's own stake outside the 'substantial shareholders' table) both mean a minority shareholder has less institutional protection here than at a Main Market peer. Nothing in the primary sources reviewed suggests this has been exploited to the detriment of minority holders — but the structural protection is genuinely lighter, and that is a fact about the structure, not a prediction about future conduct.</t>
  </si>
  <si>
    <t xml:space="preserve">The recommended reading, echoing this project's own Pernod Ricard trap-vs-value framework: family control is not, by itself, evidence of either a 'trap' (family enrichment at minority expense) or 'value' (disciplined long-term stewardship) — the evidence here leans toward the value side (professionalised management, clean earnings, conservative balance sheet, long dividend record) but a shareholder should keep watching the same signals reviewed here (independent-director count, related-party disclosures, capital-allocation discipline) at each future annual report, precisely because the structural check on the family is thinner than at a typical Main Market company.</t>
  </si>
  <si>
    <t xml:space="preserve">The Ratio Holding B.V. joint venture's recurring, widening losses (see Income Statement tab) are worth watching through this same lens: it is a normal-looking, arms-length joint-venture investment on the evidence reviewed (not a related-party transaction with the Thorpe family), but any further deterioration would be a genuine test of the Board's capital-allocation discipline, in a governance structure where the family's own board representation could make a swift write-down or exit decision harder to force than at a company with a fully independent board.</t>
  </si>
  <si>
    <t xml:space="preserve">Sources: FY2025 Annual Report &amp; Accounts (Directors' Report, Remuneration Report, Corporate Governance Report, Share Capital note); Notice of General Meeting / ESOP circular (May 2024); dedicated ownership/governance research pass, 29 Aug 2026, incl. Investegate (24 Dec 2025 RNS, flagged secondary) for the one item explicitly marked above.</t>
  </si>
</sst>
</file>

<file path=xl/styles.xml><?xml version="1.0" encoding="utf-8"?>
<styleSheet xmlns="http://schemas.openxmlformats.org/spreadsheetml/2006/main">
  <numFmts count="16">
    <numFmt numFmtId="164" formatCode="General"/>
    <numFmt numFmtId="165" formatCode="#,##0;\(#,##0\);\-"/>
    <numFmt numFmtId="166" formatCode="0.00;\(0.00\);&quot;n/a&quot;"/>
    <numFmt numFmtId="167" formatCode="#,##0.0;\(#,##0.0\);\-"/>
    <numFmt numFmtId="168" formatCode="General"/>
    <numFmt numFmtId="169" formatCode="#,##0.0"/>
    <numFmt numFmtId="170" formatCode="0.0\p"/>
    <numFmt numFmtId="171" formatCode="#,##0"/>
    <numFmt numFmtId="172" formatCode="0.00"/>
    <numFmt numFmtId="173" formatCode="#,##0;;&quot;n/a&quot;"/>
    <numFmt numFmtId="174" formatCode="0.00\x"/>
    <numFmt numFmtId="175" formatCode="0.0%"/>
    <numFmt numFmtId="176" formatCode="0.0"/>
    <numFmt numFmtId="177" formatCode="0.00\x;&quot;n/a&quot;"/>
    <numFmt numFmtId="178" formatCode="0.00%;&quot;n/a&quot;"/>
    <numFmt numFmtId="179" formatCode="0.0\x"/>
  </numFmts>
  <fonts count="34">
    <font>
      <sz val="11"/>
      <color theme="1"/>
      <name val="Calibri"/>
      <family val="2"/>
      <charset val="1"/>
    </font>
    <font>
      <sz val="10"/>
      <name val="Arial"/>
      <family val="0"/>
    </font>
    <font>
      <sz val="10"/>
      <name val="Arial"/>
      <family val="0"/>
    </font>
    <font>
      <sz val="10"/>
      <name val="Arial"/>
      <family val="0"/>
    </font>
    <font>
      <b val="true"/>
      <sz val="12"/>
      <color rgb="FF1F3864"/>
      <name val="Arial"/>
      <family val="0"/>
      <charset val="1"/>
    </font>
    <font>
      <i val="true"/>
      <sz val="8"/>
      <color rgb="FF808080"/>
      <name val="Arial"/>
      <family val="0"/>
      <charset val="1"/>
    </font>
    <font>
      <b val="true"/>
      <sz val="10"/>
      <color rgb="FFFFFFFF"/>
      <name val="Arial"/>
      <family val="0"/>
      <charset val="1"/>
    </font>
    <font>
      <b val="true"/>
      <sz val="9"/>
      <name val="Arial"/>
      <family val="0"/>
      <charset val="1"/>
    </font>
    <font>
      <sz val="9"/>
      <name val="Arial"/>
      <family val="0"/>
      <charset val="1"/>
    </font>
    <font>
      <sz val="10"/>
      <name val="Arial"/>
      <family val="2"/>
    </font>
    <font>
      <b val="true"/>
      <sz val="9"/>
      <color rgb="FF1F3864"/>
      <name val="Arial"/>
      <family val="0"/>
      <charset val="1"/>
    </font>
    <font>
      <i val="true"/>
      <sz val="9"/>
      <color rgb="FFC00000"/>
      <name val="Arial"/>
      <family val="0"/>
      <charset val="1"/>
    </font>
    <font>
      <b val="true"/>
      <sz val="8"/>
      <color rgb="FF006100"/>
      <name val="Arial"/>
      <family val="0"/>
      <charset val="1"/>
    </font>
    <font>
      <i val="true"/>
      <sz val="8.5"/>
      <color rgb="FFC00000"/>
      <name val="Arial"/>
      <family val="0"/>
      <charset val="1"/>
    </font>
    <font>
      <b val="true"/>
      <sz val="11"/>
      <color rgb="FF1F3864"/>
      <name val="Arial"/>
      <family val="0"/>
      <charset val="1"/>
    </font>
    <font>
      <b val="true"/>
      <sz val="10"/>
      <color rgb="FF1F3864"/>
      <name val="Arial"/>
      <family val="0"/>
      <charset val="1"/>
    </font>
    <font>
      <i val="true"/>
      <sz val="8.5"/>
      <color rgb="FF808080"/>
      <name val="Arial"/>
      <family val="0"/>
      <charset val="1"/>
    </font>
    <font>
      <b val="true"/>
      <sz val="8.5"/>
      <color rgb="FF1F3864"/>
      <name val="Arial"/>
      <family val="0"/>
      <charset val="1"/>
    </font>
    <font>
      <sz val="8.5"/>
      <name val="Arial"/>
      <family val="0"/>
      <charset val="1"/>
    </font>
    <font>
      <b val="true"/>
      <sz val="18"/>
      <color rgb="FF000000"/>
      <name val="Calibri"/>
      <family val="2"/>
    </font>
    <font>
      <sz val="10"/>
      <color rgb="FF000000"/>
      <name val="Calibri"/>
      <family val="2"/>
    </font>
    <font>
      <b val="true"/>
      <sz val="13"/>
      <name val="Arial"/>
      <family val="0"/>
      <charset val="1"/>
    </font>
    <font>
      <b val="true"/>
      <i val="true"/>
      <sz val="9"/>
      <color rgb="FF1F3864"/>
      <name val="Arial"/>
      <family val="0"/>
      <charset val="1"/>
    </font>
    <font>
      <i val="true"/>
      <sz val="8.5"/>
      <name val="Arial"/>
      <family val="0"/>
      <charset val="1"/>
    </font>
    <font>
      <i val="true"/>
      <sz val="8"/>
      <name val="Arial"/>
      <family val="0"/>
      <charset val="1"/>
    </font>
    <font>
      <sz val="8"/>
      <name val="Arial"/>
      <family val="0"/>
      <charset val="1"/>
    </font>
    <font>
      <b val="true"/>
      <sz val="13"/>
      <color rgb="FF1F3864"/>
      <name val="Arial"/>
      <family val="0"/>
      <charset val="1"/>
    </font>
    <font>
      <b val="true"/>
      <sz val="10"/>
      <name val="Arial"/>
      <family val="0"/>
      <charset val="1"/>
    </font>
    <font>
      <i val="true"/>
      <sz val="9"/>
      <name val="Arial"/>
      <family val="0"/>
      <charset val="1"/>
    </font>
    <font>
      <b val="true"/>
      <sz val="9"/>
      <color rgb="FF000000"/>
      <name val="Arial"/>
      <family val="0"/>
      <charset val="1"/>
    </font>
    <font>
      <b val="true"/>
      <sz val="9"/>
      <color rgb="FFC00000"/>
      <name val="Arial"/>
      <family val="0"/>
      <charset val="1"/>
    </font>
    <font>
      <b val="true"/>
      <sz val="8.5"/>
      <name val="Arial"/>
      <family val="0"/>
      <charset val="1"/>
    </font>
    <font>
      <b val="true"/>
      <sz val="8.5"/>
      <color rgb="FFC00000"/>
      <name val="Arial"/>
      <family val="0"/>
      <charset val="1"/>
    </font>
    <font>
      <sz val="9"/>
      <color rgb="FF000000"/>
      <name val="Arial"/>
      <family val="0"/>
      <charset val="1"/>
    </font>
  </fonts>
  <fills count="6">
    <fill>
      <patternFill patternType="none"/>
    </fill>
    <fill>
      <patternFill patternType="gray125"/>
    </fill>
    <fill>
      <patternFill patternType="solid">
        <fgColor rgb="FF1F3864"/>
        <bgColor rgb="FF333333"/>
      </patternFill>
    </fill>
    <fill>
      <patternFill patternType="solid">
        <fgColor rgb="FFFCE4D6"/>
        <bgColor rgb="FFD9D9D9"/>
      </patternFill>
    </fill>
    <fill>
      <patternFill patternType="solid">
        <fgColor rgb="FFD9E2F3"/>
        <bgColor rgb="FFD9D9D9"/>
      </patternFill>
    </fill>
    <fill>
      <patternFill patternType="solid">
        <fgColor rgb="FFFFFF99"/>
        <bgColor rgb="FFFCE4D6"/>
      </patternFill>
    </fill>
  </fills>
  <borders count="2">
    <border diagonalUp="false" diagonalDown="false">
      <left/>
      <right/>
      <top/>
      <bottom/>
      <diagonal/>
    </border>
    <border diagonalUp="false" diagonalDown="false">
      <left/>
      <right/>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7" fillId="0"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8"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7" fontId="7"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70" fontId="10"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false" applyProtection="false">
      <alignment horizontal="general"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71" fontId="7" fillId="0" borderId="0" xfId="0" applyFont="true" applyBorder="false" applyAlignment="false" applyProtection="false">
      <alignment horizontal="general" vertical="bottom" textRotation="0" wrapText="false" indent="0" shrinkToFit="false"/>
      <protection locked="true" hidden="false"/>
    </xf>
    <xf numFmtId="172" fontId="7"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4" borderId="0" xfId="0" applyFont="true" applyBorder="true" applyAlignment="false" applyProtection="false">
      <alignment horizontal="general" vertical="bottom" textRotation="0" wrapText="false" indent="0" shrinkToFit="false"/>
      <protection locked="true" hidden="false"/>
    </xf>
    <xf numFmtId="173" fontId="8" fillId="0" borderId="1" xfId="0" applyFont="true" applyBorder="true" applyAlignment="false" applyProtection="false">
      <alignment horizontal="general" vertical="bottom" textRotation="0" wrapText="false" indent="0" shrinkToFit="false"/>
      <protection locked="true" hidden="false"/>
    </xf>
    <xf numFmtId="171" fontId="8" fillId="0" borderId="1"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true" applyAlignment="false" applyProtection="false">
      <alignment horizontal="general"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general" vertical="top" textRotation="0" wrapText="true" indent="0" shrinkToFit="false"/>
      <protection locked="true" hidden="false"/>
    </xf>
    <xf numFmtId="164" fontId="6" fillId="2" borderId="0" xfId="0" applyFont="true" applyBorder="false" applyAlignment="true" applyProtection="false">
      <alignment horizontal="center" vertical="center"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21" fillId="0" borderId="1" xfId="0" applyFont="true" applyBorder="true" applyAlignment="true" applyProtection="false">
      <alignment horizontal="center" vertical="bottom" textRotation="0" wrapText="false" indent="0" shrinkToFit="false"/>
      <protection locked="true" hidden="false"/>
    </xf>
    <xf numFmtId="169" fontId="8" fillId="0" borderId="1" xfId="0" applyFont="true" applyBorder="true" applyAlignment="true" applyProtection="false">
      <alignment horizontal="center" vertical="bottom" textRotation="0" wrapText="false" indent="0" shrinkToFit="false"/>
      <protection locked="true" hidden="false"/>
    </xf>
    <xf numFmtId="164" fontId="18" fillId="0" borderId="1" xfId="0" applyFont="true" applyBorder="true" applyAlignment="true" applyProtection="false">
      <alignment horizontal="general" vertical="top"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true" applyAlignment="false" applyProtection="false">
      <alignment horizontal="general" vertical="bottom" textRotation="0" wrapText="false" indent="0" shrinkToFit="false"/>
      <protection locked="true" hidden="false"/>
    </xf>
    <xf numFmtId="169" fontId="7"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true" indent="0" shrinkToFit="false"/>
      <protection locked="true" hidden="false"/>
    </xf>
    <xf numFmtId="174" fontId="8" fillId="5"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false" applyAlignment="true" applyProtection="false">
      <alignment horizontal="general" vertical="top" textRotation="0" wrapText="true" indent="0" shrinkToFit="false"/>
      <protection locked="true" hidden="false"/>
    </xf>
    <xf numFmtId="175" fontId="8" fillId="5" borderId="0" xfId="0" applyFont="true" applyBorder="false" applyAlignment="false" applyProtection="false">
      <alignment horizontal="general" vertical="bottom" textRotation="0" wrapText="false" indent="0" shrinkToFit="false"/>
      <protection locked="true" hidden="false"/>
    </xf>
    <xf numFmtId="176" fontId="26" fillId="0" borderId="0" xfId="0" applyFont="true" applyBorder="false" applyAlignment="false" applyProtection="false">
      <alignment horizontal="general" vertical="bottom" textRotation="0" wrapText="false" indent="0" shrinkToFit="false"/>
      <protection locked="true" hidden="false"/>
    </xf>
    <xf numFmtId="171" fontId="8" fillId="0" borderId="0" xfId="0" applyFont="true" applyBorder="false" applyAlignment="false" applyProtection="false">
      <alignment horizontal="general"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70" fontId="26" fillId="4" borderId="0" xfId="0" applyFont="tru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70" fontId="28"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77" fontId="8" fillId="0" borderId="0" xfId="0" applyFont="true" applyBorder="false" applyAlignment="false" applyProtection="false">
      <alignment horizontal="general" vertical="bottom" textRotation="0" wrapText="false" indent="0" shrinkToFit="false"/>
      <protection locked="true" hidden="false"/>
    </xf>
    <xf numFmtId="178" fontId="8"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general" vertical="top" textRotation="0" wrapText="true" indent="0" shrinkToFit="false"/>
      <protection locked="true" hidden="false"/>
    </xf>
    <xf numFmtId="179" fontId="7" fillId="0" borderId="0" xfId="0" applyFont="true" applyBorder="false" applyAlignment="false" applyProtection="false">
      <alignment horizontal="general" vertical="bottom" textRotation="0" wrapText="false" indent="0" shrinkToFit="false"/>
      <protection locked="true" hidden="false"/>
    </xf>
    <xf numFmtId="179" fontId="10"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center" vertical="bottom" textRotation="0" wrapText="tru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23" fillId="0" borderId="0" xfId="0" applyFont="true" applyBorder="true" applyAlignment="true" applyProtection="false">
      <alignment horizontal="general" vertical="top" textRotation="0" wrapText="tru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general" vertical="top" textRotation="0" wrapText="tru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4" fontId="18" fillId="3" borderId="0" xfId="0" applyFont="true" applyBorder="false" applyAlignment="true" applyProtection="false">
      <alignment horizontal="general" vertical="top" textRotation="0" wrapText="true" indent="0" shrinkToFit="false"/>
      <protection locked="true" hidden="false"/>
    </xf>
    <xf numFmtId="164" fontId="31" fillId="0" borderId="0" xfId="0" applyFont="true" applyBorder="false" applyAlignment="true" applyProtection="false">
      <alignment horizontal="general" vertical="top" textRotation="0" wrapText="true" indent="0" shrinkToFit="false"/>
      <protection locked="true" hidden="false"/>
    </xf>
    <xf numFmtId="164" fontId="32" fillId="0" borderId="0" xfId="0" applyFont="true" applyBorder="true" applyAlignment="false" applyProtection="false">
      <alignment horizontal="general" vertical="bottom" textRotation="0" wrapText="false" indent="0" shrinkToFit="false"/>
      <protection locked="true" hidden="false"/>
    </xf>
    <xf numFmtId="175" fontId="8"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general" vertical="top" textRotation="0" wrapText="true" indent="0" shrinkToFit="false"/>
      <protection locked="true" hidden="false"/>
    </xf>
    <xf numFmtId="164" fontId="33" fillId="0" borderId="0" xfId="0" applyFont="true" applyBorder="false" applyAlignment="false" applyProtection="false">
      <alignment horizontal="general" vertical="bottom" textRotation="0" wrapText="false" indent="0" shrinkToFit="false"/>
      <protection locked="true" hidden="false"/>
    </xf>
    <xf numFmtId="175" fontId="10" fillId="0" borderId="0" xfId="0" applyFont="true" applyBorder="false" applyAlignment="false" applyProtection="false">
      <alignment horizontal="general" vertical="bottom" textRotation="0" wrapText="false" indent="0" shrinkToFit="false"/>
      <protection locked="true" hidden="false"/>
    </xf>
    <xf numFmtId="175" fontId="30" fillId="0" borderId="0" xfId="0" applyFont="true" applyBorder="false" applyAlignment="false" applyProtection="false">
      <alignment horizontal="general" vertical="bottom" textRotation="0" wrapText="false" indent="0" shrinkToFit="false"/>
      <protection locked="true" hidden="false"/>
    </xf>
    <xf numFmtId="164" fontId="32" fillId="3" borderId="0" xfId="0" applyFont="true" applyBorder="true" applyAlignment="false" applyProtection="false">
      <alignment horizontal="general" vertical="bottom" textRotation="0" wrapText="false" indent="0" shrinkToFit="false"/>
      <protection locked="true" hidden="false"/>
    </xf>
    <xf numFmtId="164" fontId="30" fillId="3" borderId="0" xfId="0" applyFont="true" applyBorder="true" applyAlignment="false" applyProtection="false">
      <alignment horizontal="general" vertical="bottom" textRotation="0" wrapText="false" indent="0" shrinkToFit="false"/>
      <protection locked="true" hidden="false"/>
    </xf>
    <xf numFmtId="175" fontId="7"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6100"/>
      <rgbColor rgb="FF000080"/>
      <rgbColor rgb="FF808000"/>
      <rgbColor rgb="FF800080"/>
      <rgbColor rgb="FF008080"/>
      <rgbColor rgb="FFBFBFBF"/>
      <rgbColor rgb="FF808080"/>
      <rgbColor rgb="FF9999FF"/>
      <rgbColor rgb="FFBE4B48"/>
      <rgbColor rgb="FFFCE4D6"/>
      <rgbColor rgb="FFD9E2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A7EBB"/>
      <rgbColor rgb="FF46AAC4"/>
      <rgbColor rgb="FF98B855"/>
      <rgbColor rgb="FFFFCC00"/>
      <rgbColor rgb="FFFF9900"/>
      <rgbColor rgb="FFFF6600"/>
      <rgbColor rgb="FF7D5FA0"/>
      <rgbColor rgb="FF878787"/>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Net cash (£'000)</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KPIs'!$B$5</c:f>
              <c:numCache>
                <c:formatCode>#,##0</c:formatCode>
                <c:ptCount val="1"/>
                <c:pt idx="0">
                  <c:v>52268</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KPIs'!$C$5</c:f>
              <c:numCache>
                <c:formatCode>#,##0</c:formatCode>
                <c:ptCount val="1"/>
                <c:pt idx="0">
                  <c:v>33343</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KPIs'!$D$5</c:f>
              <c:numCache>
                <c:formatCode>#,##0</c:formatCode>
                <c:ptCount val="1"/>
                <c:pt idx="0">
                  <c:v>32117</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KPIs'!$E$5</c:f>
              <c:numCache>
                <c:formatCode>#,##0</c:formatCode>
                <c:ptCount val="1"/>
                <c:pt idx="0">
                  <c:v>31481</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KPIs'!$F$5</c:f>
              <c:numCache>
                <c:formatCode>#,##0</c:formatCode>
                <c:ptCount val="1"/>
                <c:pt idx="0">
                  <c:v>41739</c:v>
                </c:pt>
              </c:numCache>
            </c:numRef>
          </c:val>
          <c:smooth val="1"/>
        </c:ser>
        <c:hiLowLines>
          <c:spPr>
            <a:ln w="0">
              <a:noFill/>
            </a:ln>
          </c:spPr>
        </c:hiLowLines>
        <c:marker val="1"/>
        <c:axId val="2471582"/>
        <c:axId val="68889284"/>
      </c:lineChart>
      <c:catAx>
        <c:axId val="2471582"/>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8889284"/>
        <c:crosses val="autoZero"/>
        <c:auto val="1"/>
        <c:lblAlgn val="ctr"/>
        <c:lblOffset val="100"/>
        <c:noMultiLvlLbl val="0"/>
      </c:catAx>
      <c:valAx>
        <c:axId val="68889284"/>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2471582"/>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Ordinary dividend per share (pence, excl. special)</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KPIs'!$B$6</c:f>
              <c:numCache>
                <c:formatCode>0.00</c:formatCode>
                <c:ptCount val="1"/>
                <c:pt idx="0">
                  <c:v>5.8</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KPIs'!$C$6</c:f>
              <c:numCache>
                <c:formatCode>0.00</c:formatCode>
                <c:ptCount val="1"/>
                <c:pt idx="0">
                  <c:v>5.85</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KPIs'!$D$6</c:f>
              <c:numCache>
                <c:formatCode>0.00</c:formatCode>
                <c:ptCount val="1"/>
                <c:pt idx="0">
                  <c:v>6.46</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KPIs'!$E$6</c:f>
              <c:numCache>
                <c:formatCode>0.00</c:formatCode>
                <c:ptCount val="1"/>
                <c:pt idx="0">
                  <c:v>6.78</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KPIs'!$F$6</c:f>
              <c:numCache>
                <c:formatCode>0.00</c:formatCode>
                <c:ptCount val="1"/>
                <c:pt idx="0">
                  <c:v>7.12</c:v>
                </c:pt>
              </c:numCache>
            </c:numRef>
          </c:val>
          <c:smooth val="1"/>
        </c:ser>
        <c:hiLowLines>
          <c:spPr>
            <a:ln w="0">
              <a:noFill/>
            </a:ln>
          </c:spPr>
        </c:hiLowLines>
        <c:marker val="1"/>
        <c:axId val="70329863"/>
        <c:axId val="70062568"/>
      </c:lineChart>
      <c:catAx>
        <c:axId val="70329863"/>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70062568"/>
        <c:crosses val="autoZero"/>
        <c:auto val="1"/>
        <c:lblAlgn val="ctr"/>
        <c:lblOffset val="100"/>
        <c:noMultiLvlLbl val="0"/>
      </c:catAx>
      <c:valAx>
        <c:axId val="70062568"/>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70329863"/>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Basic EPS (pence)</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KPIs'!$B$7</c:f>
              <c:numCache>
                <c:formatCode>0.00</c:formatCode>
                <c:ptCount val="1"/>
                <c:pt idx="0">
                  <c:v>13.57</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KPIs'!$C$7</c:f>
              <c:numCache>
                <c:formatCode>0.00</c:formatCode>
                <c:ptCount val="1"/>
                <c:pt idx="0">
                  <c:v>17.16</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KPIs'!$D$7</c:f>
              <c:numCache>
                <c:formatCode>0.00</c:formatCode>
                <c:ptCount val="1"/>
                <c:pt idx="0">
                  <c:v>18.72</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KPIs'!$E$7</c:f>
              <c:numCache>
                <c:formatCode>0.00</c:formatCode>
                <c:ptCount val="1"/>
                <c:pt idx="0">
                  <c:v>20.73</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KPIs'!$F$7</c:f>
              <c:numCache>
                <c:formatCode>0.00</c:formatCode>
                <c:ptCount val="1"/>
                <c:pt idx="0">
                  <c:v>21.69</c:v>
                </c:pt>
              </c:numCache>
            </c:numRef>
          </c:val>
          <c:smooth val="1"/>
        </c:ser>
        <c:hiLowLines>
          <c:spPr>
            <a:ln w="0">
              <a:noFill/>
            </a:ln>
          </c:spPr>
        </c:hiLowLines>
        <c:marker val="1"/>
        <c:axId val="34278342"/>
        <c:axId val="87901327"/>
      </c:lineChart>
      <c:catAx>
        <c:axId val="34278342"/>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87901327"/>
        <c:crosses val="autoZero"/>
        <c:auto val="1"/>
        <c:lblAlgn val="ctr"/>
        <c:lblOffset val="100"/>
        <c:noMultiLvlLbl val="0"/>
      </c:catAx>
      <c:valAx>
        <c:axId val="87901327"/>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34278342"/>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9</xdr:row>
      <xdr:rowOff>0</xdr:rowOff>
    </xdr:from>
    <xdr:to>
      <xdr:col>0</xdr:col>
      <xdr:colOff>4139640</xdr:colOff>
      <xdr:row>22</xdr:row>
      <xdr:rowOff>43200</xdr:rowOff>
    </xdr:to>
    <xdr:graphicFrame>
      <xdr:nvGraphicFramePr>
        <xdr:cNvPr id="0" name="Chart 1"/>
        <xdr:cNvGraphicFramePr/>
      </xdr:nvGraphicFramePr>
      <xdr:xfrm>
        <a:off x="0" y="2228760"/>
        <a:ext cx="4139640" cy="25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0</xdr:colOff>
      <xdr:row>9</xdr:row>
      <xdr:rowOff>0</xdr:rowOff>
    </xdr:from>
    <xdr:to>
      <xdr:col>11</xdr:col>
      <xdr:colOff>24840</xdr:colOff>
      <xdr:row>22</xdr:row>
      <xdr:rowOff>43200</xdr:rowOff>
    </xdr:to>
    <xdr:graphicFrame>
      <xdr:nvGraphicFramePr>
        <xdr:cNvPr id="1" name="Chart 2"/>
        <xdr:cNvGraphicFramePr/>
      </xdr:nvGraphicFramePr>
      <xdr:xfrm>
        <a:off x="9163080" y="2228760"/>
        <a:ext cx="4139640" cy="2519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25</xdr:row>
      <xdr:rowOff>0</xdr:rowOff>
    </xdr:from>
    <xdr:to>
      <xdr:col>0</xdr:col>
      <xdr:colOff>4139640</xdr:colOff>
      <xdr:row>38</xdr:row>
      <xdr:rowOff>43200</xdr:rowOff>
    </xdr:to>
    <xdr:graphicFrame>
      <xdr:nvGraphicFramePr>
        <xdr:cNvPr id="2" name="Chart 3"/>
        <xdr:cNvGraphicFramePr/>
      </xdr:nvGraphicFramePr>
      <xdr:xfrm>
        <a:off x="0" y="5276880"/>
        <a:ext cx="4139640" cy="25196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4.xml.rels><?xml version="1.0" encoding="UTF-8"?>
<Relationships xmlns="http://schemas.openxmlformats.org/package/2006/relationships"><Relationship Id="rId1" Type="http://schemas.openxmlformats.org/officeDocument/2006/relationships/drawing" Target="../drawings/drawing1.x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6" min="2" style="0" width="15"/>
  </cols>
  <sheetData>
    <row r="1" customFormat="false" ht="15" hidden="false" customHeight="false" outlineLevel="0" collapsed="false">
      <c r="A1" s="1" t="s">
        <v>0</v>
      </c>
    </row>
    <row r="2" customFormat="false" ht="55.5" hidden="false" customHeight="true" outlineLevel="0" collapsed="false">
      <c r="A2" s="2" t="s">
        <v>1</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4" t="s">
        <v>7</v>
      </c>
      <c r="B5" s="5" t="n">
        <v>117875</v>
      </c>
      <c r="C5" s="5" t="n">
        <v>143715</v>
      </c>
      <c r="D5" s="5" t="n">
        <v>176749</v>
      </c>
      <c r="E5" s="5" t="n">
        <v>175798</v>
      </c>
      <c r="F5" s="5" t="n">
        <v>175221</v>
      </c>
    </row>
    <row r="6" customFormat="false" ht="15" hidden="false" customHeight="false" outlineLevel="0" collapsed="false">
      <c r="A6" s="6" t="s">
        <v>8</v>
      </c>
      <c r="B6" s="7" t="n">
        <v>-62484</v>
      </c>
      <c r="C6" s="7" t="n">
        <v>-80440</v>
      </c>
      <c r="D6" s="7" t="n">
        <v>-98891</v>
      </c>
      <c r="E6" s="7" t="n">
        <v>-90361</v>
      </c>
      <c r="F6" s="7" t="n">
        <v>-91086</v>
      </c>
    </row>
    <row r="7" customFormat="false" ht="15" hidden="false" customHeight="false" outlineLevel="0" collapsed="false">
      <c r="A7" s="4" t="s">
        <v>9</v>
      </c>
      <c r="B7" s="8" t="n">
        <f aca="false">SUM(B5:B6)</f>
        <v>55391</v>
      </c>
      <c r="C7" s="8" t="n">
        <f aca="false">SUM(C5:C6)</f>
        <v>63275</v>
      </c>
      <c r="D7" s="8" t="n">
        <f aca="false">SUM(D5:D6)</f>
        <v>77858</v>
      </c>
      <c r="E7" s="8" t="n">
        <f aca="false">SUM(E5:E6)</f>
        <v>85437</v>
      </c>
      <c r="F7" s="8" t="n">
        <f aca="false">SUM(F5:F6)</f>
        <v>84135</v>
      </c>
    </row>
    <row r="8" customFormat="false" ht="15" hidden="false" customHeight="false" outlineLevel="0" collapsed="false">
      <c r="A8" s="6" t="s">
        <v>10</v>
      </c>
      <c r="B8" s="7" t="n">
        <v>-13598</v>
      </c>
      <c r="C8" s="7" t="n">
        <v>-15501</v>
      </c>
      <c r="D8" s="7" t="n">
        <v>-19214</v>
      </c>
      <c r="E8" s="7" t="n">
        <v>-22370</v>
      </c>
      <c r="F8" s="7" t="n">
        <v>-22374</v>
      </c>
    </row>
    <row r="9" customFormat="false" ht="15" hidden="false" customHeight="false" outlineLevel="0" collapsed="false">
      <c r="A9" s="6" t="s">
        <v>11</v>
      </c>
      <c r="B9" s="7" t="n">
        <v>-22855</v>
      </c>
      <c r="C9" s="7" t="n">
        <v>-23482</v>
      </c>
      <c r="D9" s="7" t="n">
        <v>-31292</v>
      </c>
      <c r="E9" s="7" t="n">
        <v>-33001</v>
      </c>
      <c r="F9" s="7" t="n">
        <v>-30210</v>
      </c>
    </row>
    <row r="10" customFormat="false" ht="15" hidden="false" customHeight="false" outlineLevel="0" collapsed="false">
      <c r="A10" s="6" t="s">
        <v>12</v>
      </c>
      <c r="B10" s="7" t="n">
        <v>289</v>
      </c>
      <c r="C10" s="7" t="n">
        <v>423</v>
      </c>
      <c r="D10" s="7" t="n">
        <v>480</v>
      </c>
      <c r="E10" s="7" t="n">
        <v>565</v>
      </c>
      <c r="F10" s="7" t="n">
        <v>506</v>
      </c>
    </row>
    <row r="11" customFormat="false" ht="15" hidden="false" customHeight="false" outlineLevel="0" collapsed="false">
      <c r="A11" s="9" t="s">
        <v>13</v>
      </c>
      <c r="B11" s="7" t="n">
        <v>1566</v>
      </c>
      <c r="C11" s="7" t="n">
        <v>0</v>
      </c>
      <c r="D11" s="7" t="n">
        <v>0</v>
      </c>
      <c r="E11" s="7" t="n">
        <v>0</v>
      </c>
      <c r="F11" s="7" t="n">
        <v>0</v>
      </c>
    </row>
    <row r="12" customFormat="false" ht="15" hidden="false" customHeight="false" outlineLevel="0" collapsed="false">
      <c r="A12" s="4" t="s">
        <v>14</v>
      </c>
      <c r="B12" s="8" t="n">
        <f aca="false">B7+B8+B9+B10+B11</f>
        <v>20793</v>
      </c>
      <c r="C12" s="8" t="n">
        <f aca="false">C7+C8+C9+C10+C11</f>
        <v>24715</v>
      </c>
      <c r="D12" s="8" t="n">
        <f aca="false">D7+D8+D9+D10+D11</f>
        <v>27832</v>
      </c>
      <c r="E12" s="8" t="n">
        <f aca="false">E7+E8+E9+E10+E11</f>
        <v>30631</v>
      </c>
      <c r="F12" s="8" t="n">
        <f aca="false">F7+F8+F9+F10+F11</f>
        <v>32057</v>
      </c>
    </row>
    <row r="13" customFormat="false" ht="15" hidden="false" customHeight="false" outlineLevel="0" collapsed="false">
      <c r="A13" s="6" t="s">
        <v>15</v>
      </c>
      <c r="B13" s="7" t="n">
        <v>615</v>
      </c>
      <c r="C13" s="7" t="n">
        <v>527</v>
      </c>
      <c r="D13" s="7" t="n">
        <v>716</v>
      </c>
      <c r="E13" s="7" t="n">
        <v>1127</v>
      </c>
      <c r="F13" s="7" t="n">
        <v>1654</v>
      </c>
    </row>
    <row r="14" customFormat="false" ht="15" hidden="false" customHeight="false" outlineLevel="0" collapsed="false">
      <c r="A14" s="6" t="s">
        <v>16</v>
      </c>
      <c r="B14" s="7" t="n">
        <v>-1267</v>
      </c>
      <c r="C14" s="7" t="n">
        <v>-1367</v>
      </c>
      <c r="D14" s="7" t="n">
        <v>-1094</v>
      </c>
      <c r="E14" s="7" t="n">
        <v>-1059</v>
      </c>
      <c r="F14" s="7" t="n">
        <v>-729</v>
      </c>
    </row>
    <row r="15" customFormat="false" ht="15" hidden="false" customHeight="false" outlineLevel="0" collapsed="false">
      <c r="A15" s="9" t="s">
        <v>17</v>
      </c>
      <c r="B15" s="7" t="n">
        <v>0</v>
      </c>
      <c r="C15" s="7" t="n">
        <v>228</v>
      </c>
      <c r="D15" s="7" t="n">
        <v>-520</v>
      </c>
      <c r="E15" s="7" t="n">
        <v>-826</v>
      </c>
      <c r="F15" s="7" t="n">
        <v>-1360</v>
      </c>
    </row>
    <row r="16" customFormat="false" ht="15" hidden="false" customHeight="false" outlineLevel="0" collapsed="false">
      <c r="A16" s="4" t="s">
        <v>18</v>
      </c>
      <c r="B16" s="8" t="n">
        <f aca="false">B12+B13+B14+B15</f>
        <v>20141</v>
      </c>
      <c r="C16" s="8" t="n">
        <f aca="false">C12+C13+C14+C15</f>
        <v>24103</v>
      </c>
      <c r="D16" s="8" t="n">
        <f aca="false">D12+D13+D14+D15</f>
        <v>26934</v>
      </c>
      <c r="E16" s="8" t="n">
        <f aca="false">E12+E13+E14+E15</f>
        <v>29873</v>
      </c>
      <c r="F16" s="8" t="n">
        <f aca="false">F12+F13+F14+F15</f>
        <v>31622</v>
      </c>
    </row>
    <row r="17" customFormat="false" ht="15" hidden="false" customHeight="false" outlineLevel="0" collapsed="false">
      <c r="A17" s="6" t="s">
        <v>19</v>
      </c>
      <c r="B17" s="7" t="n">
        <v>-4329</v>
      </c>
      <c r="C17" s="7" t="n">
        <v>-4030</v>
      </c>
      <c r="D17" s="7" t="n">
        <v>-5000</v>
      </c>
      <c r="E17" s="7" t="n">
        <v>-5560</v>
      </c>
      <c r="F17" s="7" t="n">
        <v>-6210</v>
      </c>
    </row>
    <row r="18" customFormat="false" ht="15" hidden="false" customHeight="false" outlineLevel="0" collapsed="false">
      <c r="A18" s="4" t="s">
        <v>20</v>
      </c>
      <c r="B18" s="8" t="n">
        <f aca="false">B16+B17</f>
        <v>15812</v>
      </c>
      <c r="C18" s="8" t="n">
        <f aca="false">C16+C17</f>
        <v>20073</v>
      </c>
      <c r="D18" s="8" t="n">
        <f aca="false">D16+D17</f>
        <v>21934</v>
      </c>
      <c r="E18" s="8" t="n">
        <f aca="false">E16+E17</f>
        <v>24313</v>
      </c>
      <c r="F18" s="8" t="n">
        <f aca="false">F16+F17</f>
        <v>25412</v>
      </c>
    </row>
    <row r="20" customFormat="false" ht="15" hidden="false" customHeight="false" outlineLevel="0" collapsed="false">
      <c r="A20" s="9" t="s">
        <v>21</v>
      </c>
      <c r="B20" s="7"/>
      <c r="C20" s="7"/>
      <c r="D20" s="7" t="n">
        <v>29833</v>
      </c>
      <c r="E20" s="7" t="n">
        <v>32363</v>
      </c>
      <c r="F20" s="7" t="n">
        <v>32903</v>
      </c>
    </row>
    <row r="22" customFormat="false" ht="15" hidden="false" customHeight="false" outlineLevel="0" collapsed="false">
      <c r="A22" s="6" t="s">
        <v>22</v>
      </c>
      <c r="B22" s="10" t="n">
        <v>13.57</v>
      </c>
      <c r="C22" s="10" t="n">
        <v>17.16</v>
      </c>
      <c r="D22" s="10" t="n">
        <v>18.72</v>
      </c>
      <c r="E22" s="10" t="n">
        <v>20.73</v>
      </c>
      <c r="F22" s="10" t="n">
        <v>21.69</v>
      </c>
    </row>
    <row r="23" customFormat="false" ht="15" hidden="false" customHeight="false" outlineLevel="0" collapsed="false">
      <c r="A23" s="6" t="s">
        <v>23</v>
      </c>
      <c r="B23" s="10" t="n">
        <v>13.52</v>
      </c>
      <c r="C23" s="10" t="n">
        <v>17.13</v>
      </c>
      <c r="D23" s="10" t="n">
        <v>18.7</v>
      </c>
      <c r="E23" s="10" t="n">
        <v>20.73</v>
      </c>
      <c r="F23" s="10" t="n">
        <v>21.69</v>
      </c>
    </row>
    <row r="24" customFormat="false" ht="15" hidden="false" customHeight="false" outlineLevel="0" collapsed="false">
      <c r="A24" s="6" t="s">
        <v>24</v>
      </c>
      <c r="B24" s="10" t="n">
        <v>5.8</v>
      </c>
      <c r="C24" s="10" t="n">
        <v>5.85</v>
      </c>
      <c r="D24" s="10" t="n">
        <v>6.46</v>
      </c>
      <c r="E24" s="10" t="n">
        <v>6.78</v>
      </c>
      <c r="F24" s="10" t="n">
        <v>7.12</v>
      </c>
    </row>
    <row r="25" customFormat="false" ht="15" hidden="false" customHeight="false" outlineLevel="0" collapsed="false">
      <c r="A25" s="9" t="s">
        <v>25</v>
      </c>
      <c r="B25" s="10" t="n">
        <v>2.2</v>
      </c>
      <c r="C25" s="10" t="n">
        <v>2.27</v>
      </c>
      <c r="D25" s="10" t="n">
        <v>0</v>
      </c>
      <c r="E25" s="10" t="n">
        <v>2.5</v>
      </c>
      <c r="F25" s="10" t="n">
        <v>0</v>
      </c>
    </row>
  </sheetData>
  <mergeCells count="1">
    <mergeCell ref="A2:F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8"/>
    <col collapsed="false" customWidth="true" hidden="false" outlineLevel="0" max="6" min="2" style="0" width="15"/>
  </cols>
  <sheetData>
    <row r="1" customFormat="false" ht="15" hidden="false" customHeight="false" outlineLevel="0" collapsed="false">
      <c r="A1" s="1" t="s">
        <v>26</v>
      </c>
    </row>
    <row r="2" customFormat="false" ht="43.5" hidden="false" customHeight="true" outlineLevel="0" collapsed="false">
      <c r="A2" s="2" t="s">
        <v>27</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11" t="s">
        <v>28</v>
      </c>
    </row>
    <row r="6" customFormat="false" ht="15" hidden="false" customHeight="false" outlineLevel="0" collapsed="false">
      <c r="A6" s="6" t="s">
        <v>29</v>
      </c>
      <c r="B6" s="12" t="n">
        <v>28251</v>
      </c>
      <c r="C6" s="12" t="n">
        <v>33818</v>
      </c>
      <c r="D6" s="12" t="n">
        <v>38763</v>
      </c>
      <c r="E6" s="12" t="n">
        <v>38323</v>
      </c>
      <c r="F6" s="12" t="n">
        <v>39351</v>
      </c>
    </row>
    <row r="7" customFormat="false" ht="15" hidden="false" customHeight="false" outlineLevel="0" collapsed="false">
      <c r="A7" s="6" t="s">
        <v>30</v>
      </c>
      <c r="B7" s="12" t="n">
        <v>19705</v>
      </c>
      <c r="C7" s="12" t="n">
        <v>51865</v>
      </c>
      <c r="D7" s="12" t="n">
        <v>70891</v>
      </c>
      <c r="E7" s="12" t="n">
        <v>66104</v>
      </c>
      <c r="F7" s="12" t="n">
        <v>65057</v>
      </c>
    </row>
    <row r="8" customFormat="false" ht="15" hidden="false" customHeight="false" outlineLevel="0" collapsed="false">
      <c r="A8" s="6" t="s">
        <v>31</v>
      </c>
      <c r="B8" s="12" t="n">
        <v>1967</v>
      </c>
      <c r="C8" s="12" t="n">
        <v>1984</v>
      </c>
      <c r="D8" s="12" t="n">
        <v>1986</v>
      </c>
      <c r="E8" s="12" t="n">
        <v>4403</v>
      </c>
      <c r="F8" s="12" t="n">
        <v>4362</v>
      </c>
    </row>
    <row r="9" customFormat="false" ht="15" hidden="false" customHeight="false" outlineLevel="0" collapsed="false">
      <c r="A9" s="9" t="s">
        <v>32</v>
      </c>
      <c r="B9" s="12" t="n">
        <v>0</v>
      </c>
      <c r="C9" s="12" t="n">
        <v>6112</v>
      </c>
      <c r="D9" s="12" t="n">
        <v>5592</v>
      </c>
      <c r="E9" s="12" t="n">
        <v>4671</v>
      </c>
      <c r="F9" s="12" t="n">
        <v>5773</v>
      </c>
    </row>
    <row r="10" customFormat="false" ht="15" hidden="false" customHeight="false" outlineLevel="0" collapsed="false">
      <c r="A10" s="4" t="s">
        <v>33</v>
      </c>
      <c r="B10" s="8" t="n">
        <f aca="false">B6+B7+B8+B9</f>
        <v>49923</v>
      </c>
      <c r="C10" s="8" t="n">
        <f aca="false">C6+C7+C8+C9</f>
        <v>93779</v>
      </c>
      <c r="D10" s="8" t="n">
        <f aca="false">D6+D7+D8+D9</f>
        <v>117232</v>
      </c>
      <c r="E10" s="8" t="n">
        <f aca="false">E6+E7+E8+E9</f>
        <v>113501</v>
      </c>
      <c r="F10" s="8" t="n">
        <f aca="false">F6+F7+F8+F9</f>
        <v>114543</v>
      </c>
    </row>
    <row r="11" customFormat="false" ht="15" hidden="false" customHeight="false" outlineLevel="0" collapsed="false">
      <c r="A11" s="11" t="s">
        <v>34</v>
      </c>
    </row>
    <row r="12" customFormat="false" ht="15" hidden="false" customHeight="false" outlineLevel="0" collapsed="false">
      <c r="A12" s="6" t="s">
        <v>35</v>
      </c>
      <c r="B12" s="12" t="n">
        <v>20389</v>
      </c>
      <c r="C12" s="12" t="n">
        <v>32758</v>
      </c>
      <c r="D12" s="12" t="n">
        <v>33437</v>
      </c>
      <c r="E12" s="12" t="n">
        <v>28997</v>
      </c>
      <c r="F12" s="12" t="n">
        <v>29710</v>
      </c>
    </row>
    <row r="13" customFormat="false" ht="15" hidden="false" customHeight="false" outlineLevel="0" collapsed="false">
      <c r="A13" s="6" t="s">
        <v>36</v>
      </c>
      <c r="B13" s="12" t="n">
        <v>52268</v>
      </c>
      <c r="C13" s="12" t="n">
        <v>35505</v>
      </c>
      <c r="D13" s="12" t="n">
        <v>35013</v>
      </c>
      <c r="E13" s="12" t="n">
        <v>33943</v>
      </c>
      <c r="F13" s="12" t="n">
        <v>42983</v>
      </c>
    </row>
    <row r="14" customFormat="false" ht="15" hidden="false" customHeight="false" outlineLevel="0" collapsed="false">
      <c r="A14" s="9" t="s">
        <v>37</v>
      </c>
      <c r="B14" s="13" t="n">
        <f aca="false">B15-(B12+B13)</f>
        <v>59223</v>
      </c>
      <c r="C14" s="13" t="n">
        <f aca="false">C15-(C12+C13)</f>
        <v>44611</v>
      </c>
      <c r="D14" s="13" t="n">
        <f aca="false">D15-(D12+D13)</f>
        <v>42336</v>
      </c>
      <c r="E14" s="13" t="n">
        <f aca="false">E15-(E12+E13)</f>
        <v>62456</v>
      </c>
      <c r="F14" s="13" t="n">
        <f aca="false">F15-(F12+F13)</f>
        <v>60708</v>
      </c>
    </row>
    <row r="15" customFormat="false" ht="15" hidden="false" customHeight="false" outlineLevel="0" collapsed="false">
      <c r="A15" s="4" t="s">
        <v>38</v>
      </c>
      <c r="B15" s="8" t="n">
        <f aca="false">B16-B10</f>
        <v>131880</v>
      </c>
      <c r="C15" s="8" t="n">
        <f aca="false">C16-C10</f>
        <v>112874</v>
      </c>
      <c r="D15" s="8" t="n">
        <f aca="false">D16-D10</f>
        <v>110786</v>
      </c>
      <c r="E15" s="8" t="n">
        <f aca="false">E16-E10</f>
        <v>125396</v>
      </c>
      <c r="F15" s="8" t="n">
        <f aca="false">F16-F10</f>
        <v>133401</v>
      </c>
    </row>
    <row r="16" customFormat="false" ht="15" hidden="false" customHeight="false" outlineLevel="0" collapsed="false">
      <c r="A16" s="4" t="s">
        <v>39</v>
      </c>
      <c r="B16" s="8" t="n">
        <v>181803</v>
      </c>
      <c r="C16" s="8" t="n">
        <v>206653</v>
      </c>
      <c r="D16" s="8" t="n">
        <v>228018</v>
      </c>
      <c r="E16" s="8" t="n">
        <v>238897</v>
      </c>
      <c r="F16" s="8" t="n">
        <v>247944</v>
      </c>
    </row>
    <row r="17" customFormat="false" ht="15" hidden="false" customHeight="false" outlineLevel="0" collapsed="false">
      <c r="A17" s="11" t="s">
        <v>40</v>
      </c>
    </row>
    <row r="18" customFormat="false" ht="15" hidden="false" customHeight="false" outlineLevel="0" collapsed="false">
      <c r="A18" s="6" t="s">
        <v>41</v>
      </c>
      <c r="B18" s="12" t="n">
        <v>0</v>
      </c>
      <c r="C18" s="12" t="n">
        <v>-2162</v>
      </c>
      <c r="D18" s="12" t="n">
        <v>-2896</v>
      </c>
      <c r="E18" s="12" t="n">
        <v>-2462</v>
      </c>
      <c r="F18" s="12" t="n">
        <v>-1244</v>
      </c>
    </row>
    <row r="19" customFormat="false" ht="15" hidden="false" customHeight="false" outlineLevel="0" collapsed="false">
      <c r="A19" s="6" t="s">
        <v>42</v>
      </c>
      <c r="B19" s="12" t="n">
        <v>-661</v>
      </c>
      <c r="C19" s="12" t="n">
        <v>-3016</v>
      </c>
      <c r="D19" s="12" t="n">
        <v>-4634</v>
      </c>
      <c r="E19" s="12" t="n">
        <v>-4163</v>
      </c>
      <c r="F19" s="12" t="n">
        <v>-3908</v>
      </c>
    </row>
    <row r="20" customFormat="false" ht="15" hidden="false" customHeight="false" outlineLevel="0" collapsed="false">
      <c r="A20" s="9" t="s">
        <v>43</v>
      </c>
      <c r="B20" s="13" t="n">
        <f aca="false">B21-(B18+B19)</f>
        <v>-44149</v>
      </c>
      <c r="C20" s="13" t="n">
        <f aca="false">C21-(C18+C19)</f>
        <v>-56122</v>
      </c>
      <c r="D20" s="13" t="n">
        <f aca="false">D21-(D18+D19)</f>
        <v>-60147</v>
      </c>
      <c r="E20" s="13" t="n">
        <f aca="false">E21-(E18+E19)</f>
        <v>-55510</v>
      </c>
      <c r="F20" s="13" t="n">
        <f aca="false">F21-(F18+F19)</f>
        <v>-52999</v>
      </c>
    </row>
    <row r="21" customFormat="false" ht="15" hidden="false" customHeight="false" outlineLevel="0" collapsed="false">
      <c r="A21" s="4" t="s">
        <v>44</v>
      </c>
      <c r="B21" s="8" t="n">
        <v>-44810</v>
      </c>
      <c r="C21" s="8" t="n">
        <v>-61300</v>
      </c>
      <c r="D21" s="8" t="n">
        <v>-67677</v>
      </c>
      <c r="E21" s="8" t="n">
        <v>-62135</v>
      </c>
      <c r="F21" s="8" t="n">
        <v>-58151</v>
      </c>
    </row>
    <row r="22" customFormat="false" ht="15" hidden="false" customHeight="false" outlineLevel="0" collapsed="false">
      <c r="A22" s="4" t="s">
        <v>45</v>
      </c>
      <c r="B22" s="8" t="n">
        <f aca="false">B16+B21</f>
        <v>136993</v>
      </c>
      <c r="C22" s="8" t="n">
        <f aca="false">C16+C21</f>
        <v>145353</v>
      </c>
      <c r="D22" s="8" t="n">
        <f aca="false">D16+D21</f>
        <v>160341</v>
      </c>
      <c r="E22" s="8" t="n">
        <f aca="false">E16+E21</f>
        <v>176762</v>
      </c>
      <c r="F22" s="8" t="n">
        <f aca="false">F16+F21</f>
        <v>189793</v>
      </c>
    </row>
    <row r="24" customFormat="false" ht="15" hidden="false" customHeight="false" outlineLevel="0" collapsed="false">
      <c r="A24" s="6" t="s">
        <v>46</v>
      </c>
      <c r="B24" s="14" t="str">
        <f aca="false">IF(ROUND(B22-136993,0)=0,"OK","MISMATCH")</f>
        <v>OK</v>
      </c>
      <c r="C24" s="14" t="str">
        <f aca="false">IF(ROUND(C22-145353,0)=0,"OK","MISMATCH")</f>
        <v>OK</v>
      </c>
      <c r="D24" s="14" t="str">
        <f aca="false">IF(ROUND(D22-160341,0)=0,"OK","MISMATCH")</f>
        <v>OK</v>
      </c>
      <c r="E24" s="14" t="str">
        <f aca="false">IF(ROUND(E22-176762,0)=0,"OK","MISMATCH")</f>
        <v>OK</v>
      </c>
      <c r="F24" s="14" t="str">
        <f aca="false">IF(ROUND(F22-189793,0)=0,"OK","MISMATCH")</f>
        <v>OK</v>
      </c>
    </row>
    <row r="25" customFormat="false" ht="15" hidden="false" customHeight="false" outlineLevel="0" collapsed="false">
      <c r="A25" s="4" t="s">
        <v>47</v>
      </c>
      <c r="B25" s="15" t="n">
        <v>52268</v>
      </c>
      <c r="C25" s="15" t="n">
        <v>33343</v>
      </c>
      <c r="D25" s="15" t="n">
        <v>32117</v>
      </c>
      <c r="E25" s="15" t="n">
        <v>31481</v>
      </c>
      <c r="F25" s="15" t="n">
        <v>41739</v>
      </c>
    </row>
    <row r="26" customFormat="false" ht="15" hidden="false" customHeight="false" outlineLevel="0" collapsed="false">
      <c r="A26" s="6" t="s">
        <v>48</v>
      </c>
      <c r="B26" s="16" t="n">
        <v>118.9</v>
      </c>
      <c r="C26" s="16" t="n">
        <v>118.9</v>
      </c>
      <c r="D26" s="16" t="n">
        <v>117</v>
      </c>
      <c r="E26" s="16" t="n">
        <v>117.3</v>
      </c>
      <c r="F26" s="16" t="n">
        <v>116.3</v>
      </c>
    </row>
    <row r="27" customFormat="false" ht="15" hidden="false" customHeight="false" outlineLevel="0" collapsed="false">
      <c r="A27" s="4" t="s">
        <v>49</v>
      </c>
      <c r="B27" s="17" t="n">
        <f aca="false">B22*100/(B26*1000)</f>
        <v>115.216989066442</v>
      </c>
      <c r="C27" s="17" t="n">
        <f aca="false">C22*100/(C26*1000)</f>
        <v>122.24810765349</v>
      </c>
      <c r="D27" s="17" t="n">
        <f aca="false">D22*100/(D26*1000)</f>
        <v>137.04358974359</v>
      </c>
      <c r="E27" s="17" t="n">
        <f aca="false">E22*100/(E26*1000)</f>
        <v>150.692242114237</v>
      </c>
      <c r="F27" s="17" t="n">
        <f aca="false">F22*100/(F26*1000)</f>
        <v>163.19260533104</v>
      </c>
    </row>
    <row r="29" customFormat="false" ht="90" hidden="false" customHeight="true" outlineLevel="0" collapsed="false">
      <c r="A29" s="18" t="s">
        <v>50</v>
      </c>
      <c r="B29" s="18"/>
      <c r="C29" s="18"/>
      <c r="D29" s="18"/>
      <c r="E29" s="18"/>
      <c r="F29" s="18"/>
    </row>
  </sheetData>
  <mergeCells count="2">
    <mergeCell ref="A2:F2"/>
    <mergeCell ref="A29:F29"/>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70"/>
    <col collapsed="false" customWidth="true" hidden="false" outlineLevel="0" max="6" min="2" style="0" width="15"/>
  </cols>
  <sheetData>
    <row r="1" customFormat="false" ht="15" hidden="false" customHeight="false" outlineLevel="0" collapsed="false">
      <c r="A1" s="1" t="s">
        <v>51</v>
      </c>
    </row>
    <row r="2" customFormat="false" ht="39.75" hidden="false" customHeight="true" outlineLevel="0" collapsed="false">
      <c r="A2" s="2" t="s">
        <v>52</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4" t="s">
        <v>53</v>
      </c>
      <c r="B5" s="15" t="n">
        <v>25726</v>
      </c>
      <c r="C5" s="15" t="n">
        <v>24789</v>
      </c>
      <c r="D5" s="15" t="n">
        <v>36216</v>
      </c>
      <c r="E5" s="15" t="n">
        <v>47760</v>
      </c>
      <c r="F5" s="15" t="n">
        <v>40081</v>
      </c>
    </row>
    <row r="6" customFormat="false" ht="15" hidden="false" customHeight="false" outlineLevel="0" collapsed="false">
      <c r="A6" s="6" t="s">
        <v>54</v>
      </c>
      <c r="B6" s="12" t="n">
        <v>-3853</v>
      </c>
      <c r="C6" s="12" t="n">
        <v>-5049</v>
      </c>
      <c r="D6" s="12" t="n">
        <v>-4341</v>
      </c>
      <c r="E6" s="12" t="n">
        <v>-6390</v>
      </c>
      <c r="F6" s="12" t="n">
        <v>-6841</v>
      </c>
    </row>
    <row r="7" customFormat="false" ht="15" hidden="false" customHeight="false" outlineLevel="0" collapsed="false">
      <c r="A7" s="4" t="s">
        <v>55</v>
      </c>
      <c r="B7" s="8" t="n">
        <f aca="false">SUM(B5:B6)</f>
        <v>21873</v>
      </c>
      <c r="C7" s="8" t="n">
        <f aca="false">SUM(C5:C6)</f>
        <v>19740</v>
      </c>
      <c r="D7" s="8" t="n">
        <f aca="false">SUM(D5:D6)</f>
        <v>31875</v>
      </c>
      <c r="E7" s="8" t="n">
        <f aca="false">SUM(E5:E6)</f>
        <v>41370</v>
      </c>
      <c r="F7" s="8" t="n">
        <f aca="false">SUM(F5:F6)</f>
        <v>33240</v>
      </c>
    </row>
    <row r="9" customFormat="false" ht="15" hidden="false" customHeight="false" outlineLevel="0" collapsed="false">
      <c r="A9" s="6" t="s">
        <v>56</v>
      </c>
      <c r="B9" s="12" t="n">
        <v>-2932</v>
      </c>
      <c r="C9" s="12" t="n">
        <v>-5510</v>
      </c>
      <c r="D9" s="12" t="n">
        <v>-7739</v>
      </c>
      <c r="E9" s="12" t="n">
        <v>-5121</v>
      </c>
      <c r="F9" s="12" t="n">
        <v>-5601</v>
      </c>
    </row>
    <row r="10" customFormat="false" ht="15" hidden="false" customHeight="false" outlineLevel="0" collapsed="false">
      <c r="A10" s="6" t="s">
        <v>57</v>
      </c>
      <c r="B10" s="12" t="n">
        <v>-1756</v>
      </c>
      <c r="C10" s="12" t="n">
        <v>-2366</v>
      </c>
      <c r="D10" s="12" t="n">
        <v>-2255</v>
      </c>
      <c r="E10" s="12" t="n">
        <v>-2172</v>
      </c>
      <c r="F10" s="12" t="n">
        <v>-2782</v>
      </c>
    </row>
    <row r="11" customFormat="false" ht="15" hidden="false" customHeight="false" outlineLevel="0" collapsed="false">
      <c r="A11" s="19" t="s">
        <v>58</v>
      </c>
      <c r="B11" s="8" t="n">
        <f aca="false">B7+B9+B10</f>
        <v>17185</v>
      </c>
      <c r="C11" s="8" t="n">
        <f aca="false">C7+C9+C10</f>
        <v>11864</v>
      </c>
      <c r="D11" s="8" t="n">
        <f aca="false">D7+D9+D10</f>
        <v>21881</v>
      </c>
      <c r="E11" s="8" t="n">
        <f aca="false">E7+E9+E10</f>
        <v>34077</v>
      </c>
      <c r="F11" s="8" t="n">
        <f aca="false">F7+F9+F10</f>
        <v>24857</v>
      </c>
    </row>
    <row r="13" customFormat="false" ht="15" hidden="false" customHeight="false" outlineLevel="0" collapsed="false">
      <c r="A13" s="9" t="s">
        <v>59</v>
      </c>
      <c r="B13" s="12" t="n">
        <v>0</v>
      </c>
      <c r="C13" s="12" t="n">
        <v>-14625</v>
      </c>
      <c r="D13" s="12" t="n">
        <v>-12602</v>
      </c>
      <c r="E13" s="12" t="n">
        <v>0</v>
      </c>
      <c r="F13" s="12" t="n">
        <v>0</v>
      </c>
    </row>
    <row r="14" customFormat="false" ht="15" hidden="false" customHeight="false" outlineLevel="0" collapsed="false">
      <c r="A14" s="6" t="s">
        <v>60</v>
      </c>
      <c r="B14" s="12" t="n">
        <v>0</v>
      </c>
      <c r="C14" s="12" t="n">
        <v>-15219</v>
      </c>
      <c r="D14" s="12" t="n">
        <v>-6445</v>
      </c>
      <c r="E14" s="12" t="n">
        <v>0</v>
      </c>
      <c r="F14" s="12" t="n">
        <v>0</v>
      </c>
    </row>
    <row r="15" customFormat="false" ht="15" hidden="false" customHeight="false" outlineLevel="0" collapsed="false">
      <c r="A15" s="6" t="s">
        <v>61</v>
      </c>
      <c r="B15" s="12" t="n">
        <v>0</v>
      </c>
      <c r="C15" s="12" t="n">
        <v>-4958</v>
      </c>
      <c r="D15" s="12" t="n">
        <v>0</v>
      </c>
      <c r="E15" s="12" t="n">
        <v>0</v>
      </c>
      <c r="F15" s="12" t="n">
        <v>-813</v>
      </c>
    </row>
    <row r="16" customFormat="false" ht="15" hidden="false" customHeight="false" outlineLevel="0" collapsed="false">
      <c r="A16" s="6" t="s">
        <v>62</v>
      </c>
      <c r="B16" s="12" t="n">
        <v>-6631</v>
      </c>
      <c r="C16" s="12" t="n">
        <v>-12079</v>
      </c>
      <c r="D16" s="12" t="n">
        <v>-7301</v>
      </c>
      <c r="E16" s="12" t="n">
        <v>-7668</v>
      </c>
      <c r="F16" s="12" t="n">
        <v>-10958</v>
      </c>
    </row>
    <row r="17" customFormat="false" ht="15" hidden="false" customHeight="false" outlineLevel="0" collapsed="false">
      <c r="A17" s="9" t="s">
        <v>63</v>
      </c>
      <c r="B17" s="12" t="n">
        <v>0</v>
      </c>
      <c r="C17" s="12" t="n">
        <v>0</v>
      </c>
      <c r="D17" s="12" t="n">
        <v>0</v>
      </c>
      <c r="E17" s="12" t="n">
        <v>0</v>
      </c>
      <c r="F17" s="12" t="n">
        <v>-3135</v>
      </c>
    </row>
    <row r="18" customFormat="false" ht="15" hidden="false" customHeight="false" outlineLevel="0" collapsed="false">
      <c r="A18" s="4" t="s">
        <v>64</v>
      </c>
      <c r="B18" s="8" t="n">
        <f aca="false">B11+B13+B14+B15+B16+B17</f>
        <v>10554</v>
      </c>
      <c r="C18" s="8" t="n">
        <f aca="false">C11+C13+C14+C15+C16+C17</f>
        <v>-35017</v>
      </c>
      <c r="D18" s="8" t="n">
        <f aca="false">D11+D13+D14+D15+D16+D17</f>
        <v>-4467</v>
      </c>
      <c r="E18" s="8" t="n">
        <f aca="false">E11+E13+E14+E15+E16+E17</f>
        <v>26409</v>
      </c>
      <c r="F18" s="8" t="n">
        <f aca="false">F11+F13+F14+F15+F16+F17</f>
        <v>9951</v>
      </c>
    </row>
    <row r="20" customFormat="false" ht="61.5" hidden="false" customHeight="true" outlineLevel="0" collapsed="false">
      <c r="A20" s="18" t="s">
        <v>65</v>
      </c>
      <c r="B20" s="18"/>
      <c r="C20" s="18"/>
      <c r="D20" s="18"/>
      <c r="E20" s="18"/>
      <c r="F20" s="18"/>
    </row>
  </sheetData>
  <mergeCells count="2">
    <mergeCell ref="A2:F2"/>
    <mergeCell ref="A20:F2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7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70"/>
    <col collapsed="false" customWidth="true" hidden="false" outlineLevel="0" max="6" min="2" style="0" width="15"/>
  </cols>
  <sheetData>
    <row r="1" customFormat="false" ht="15" hidden="false" customHeight="false" outlineLevel="0" collapsed="false">
      <c r="A1" s="1" t="s">
        <v>66</v>
      </c>
    </row>
    <row r="2" customFormat="false" ht="55.5" hidden="false" customHeight="true" outlineLevel="0" collapsed="false">
      <c r="A2" s="2" t="s">
        <v>67</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4" t="s">
        <v>68</v>
      </c>
      <c r="B5" s="20" t="n">
        <f aca="false">'Balance Sheet'!B25</f>
        <v>52268</v>
      </c>
      <c r="C5" s="20" t="n">
        <f aca="false">'Balance Sheet'!C25</f>
        <v>33343</v>
      </c>
      <c r="D5" s="20" t="n">
        <f aca="false">'Balance Sheet'!D25</f>
        <v>32117</v>
      </c>
      <c r="E5" s="20" t="n">
        <f aca="false">'Balance Sheet'!E25</f>
        <v>31481</v>
      </c>
      <c r="F5" s="20" t="n">
        <f aca="false">'Balance Sheet'!F25</f>
        <v>41739</v>
      </c>
    </row>
    <row r="6" customFormat="false" ht="15" hidden="false" customHeight="false" outlineLevel="0" collapsed="false">
      <c r="A6" s="4" t="s">
        <v>69</v>
      </c>
      <c r="B6" s="21" t="n">
        <f aca="false">'Income Statement'!B24</f>
        <v>5.8</v>
      </c>
      <c r="C6" s="21" t="n">
        <f aca="false">'Income Statement'!C24</f>
        <v>5.85</v>
      </c>
      <c r="D6" s="21" t="n">
        <f aca="false">'Income Statement'!D24</f>
        <v>6.46</v>
      </c>
      <c r="E6" s="21" t="n">
        <f aca="false">'Income Statement'!E24</f>
        <v>6.78</v>
      </c>
      <c r="F6" s="21" t="n">
        <f aca="false">'Income Statement'!F24</f>
        <v>7.12</v>
      </c>
    </row>
    <row r="7" customFormat="false" ht="15" hidden="false" customHeight="false" outlineLevel="0" collapsed="false">
      <c r="A7" s="4" t="s">
        <v>70</v>
      </c>
      <c r="B7" s="21" t="n">
        <f aca="false">'Income Statement'!B22</f>
        <v>13.57</v>
      </c>
      <c r="C7" s="21" t="n">
        <f aca="false">'Income Statement'!C22</f>
        <v>17.16</v>
      </c>
      <c r="D7" s="21" t="n">
        <f aca="false">'Income Statement'!D22</f>
        <v>18.72</v>
      </c>
      <c r="E7" s="21" t="n">
        <f aca="false">'Income Statement'!E22</f>
        <v>20.73</v>
      </c>
      <c r="F7" s="21" t="n">
        <f aca="false">'Income Statement'!F22</f>
        <v>21.69</v>
      </c>
    </row>
    <row r="9" customFormat="false" ht="15" hidden="false" customHeight="false" outlineLevel="0" collapsed="false">
      <c r="A9" s="22" t="s">
        <v>71</v>
      </c>
    </row>
    <row r="43" customFormat="false" ht="15" hidden="false" customHeight="false" outlineLevel="0" collapsed="false">
      <c r="A43" s="23" t="s">
        <v>72</v>
      </c>
      <c r="B43" s="23"/>
      <c r="C43" s="23"/>
      <c r="D43" s="23"/>
      <c r="E43" s="23"/>
      <c r="F43" s="23"/>
    </row>
    <row r="44" customFormat="false" ht="75.75" hidden="false" customHeight="true" outlineLevel="0" collapsed="false">
      <c r="A44" s="2" t="s">
        <v>73</v>
      </c>
      <c r="B44" s="2"/>
      <c r="C44" s="2"/>
      <c r="D44" s="2"/>
      <c r="E44" s="2"/>
      <c r="F44" s="2"/>
    </row>
    <row r="45" customFormat="false" ht="15" hidden="false" customHeight="false" outlineLevel="0" collapsed="false">
      <c r="A45" s="6" t="s">
        <v>74</v>
      </c>
      <c r="B45" s="24" t="n">
        <v>69969</v>
      </c>
      <c r="C45" s="24" t="n">
        <v>78912</v>
      </c>
      <c r="D45" s="24"/>
      <c r="E45" s="24" t="n">
        <v>99492</v>
      </c>
      <c r="F45" s="24" t="n">
        <v>101011</v>
      </c>
    </row>
    <row r="46" customFormat="false" ht="15" hidden="false" customHeight="false" outlineLevel="0" collapsed="false">
      <c r="A46" s="6" t="s">
        <v>75</v>
      </c>
      <c r="B46" s="24" t="n">
        <v>31490</v>
      </c>
      <c r="C46" s="24" t="n">
        <v>34676</v>
      </c>
      <c r="D46" s="24"/>
      <c r="E46" s="24" t="n">
        <v>37942</v>
      </c>
      <c r="F46" s="24" t="n">
        <v>34348</v>
      </c>
    </row>
    <row r="47" customFormat="false" ht="15" hidden="false" customHeight="false" outlineLevel="0" collapsed="false">
      <c r="A47" s="6" t="s">
        <v>76</v>
      </c>
      <c r="B47" s="24"/>
      <c r="C47" s="24" t="n">
        <v>14152</v>
      </c>
      <c r="D47" s="24"/>
      <c r="E47" s="24" t="n">
        <v>19350</v>
      </c>
      <c r="F47" s="24" t="n">
        <v>21372</v>
      </c>
    </row>
    <row r="48" customFormat="false" ht="15" hidden="false" customHeight="false" outlineLevel="0" collapsed="false">
      <c r="A48" s="6" t="s">
        <v>77</v>
      </c>
      <c r="B48" s="24" t="n">
        <v>16416</v>
      </c>
      <c r="C48" s="24" t="n">
        <v>15975</v>
      </c>
      <c r="D48" s="24"/>
      <c r="E48" s="24" t="n">
        <v>19014</v>
      </c>
      <c r="F48" s="24" t="n">
        <v>18490</v>
      </c>
    </row>
    <row r="49" customFormat="false" ht="15" hidden="false" customHeight="false" outlineLevel="0" collapsed="false">
      <c r="A49" s="4" t="s">
        <v>78</v>
      </c>
      <c r="B49" s="20" t="n">
        <f aca="false">SUM(B45:B48)</f>
        <v>117875</v>
      </c>
      <c r="C49" s="20" t="n">
        <f aca="false">SUM(C45:C48)</f>
        <v>143715</v>
      </c>
      <c r="E49" s="20" t="n">
        <f aca="false">SUM(E45:E48)</f>
        <v>175798</v>
      </c>
      <c r="F49" s="20" t="n">
        <f aca="false">SUM(F45:F48)</f>
        <v>175221</v>
      </c>
    </row>
    <row r="51" customFormat="false" ht="15" hidden="false" customHeight="false" outlineLevel="0" collapsed="false">
      <c r="A51" s="23" t="s">
        <v>79</v>
      </c>
      <c r="B51" s="23"/>
      <c r="C51" s="23"/>
      <c r="D51" s="23"/>
      <c r="E51" s="23"/>
      <c r="F51" s="23"/>
    </row>
    <row r="52" customFormat="false" ht="15" hidden="false" customHeight="false" outlineLevel="0" collapsed="false">
      <c r="A52" s="2" t="s">
        <v>80</v>
      </c>
      <c r="B52" s="2"/>
      <c r="C52" s="2"/>
      <c r="D52" s="2"/>
      <c r="E52" s="2"/>
      <c r="F52" s="2"/>
    </row>
    <row r="53" customFormat="false" ht="15" hidden="false" customHeight="false" outlineLevel="0" collapsed="false">
      <c r="A53" s="6" t="s">
        <v>81</v>
      </c>
      <c r="B53" s="24" t="n">
        <v>74363</v>
      </c>
      <c r="C53" s="24" t="n">
        <v>83242</v>
      </c>
      <c r="D53" s="24" t="n">
        <v>89917</v>
      </c>
      <c r="E53" s="24" t="n">
        <v>90330</v>
      </c>
      <c r="F53" s="24" t="n">
        <v>96687</v>
      </c>
    </row>
    <row r="54" customFormat="false" ht="15" hidden="false" customHeight="false" outlineLevel="0" collapsed="false">
      <c r="A54" s="6" t="s">
        <v>82</v>
      </c>
      <c r="B54" s="24" t="n">
        <v>28879</v>
      </c>
      <c r="C54" s="24" t="n">
        <v>30323</v>
      </c>
      <c r="D54" s="24" t="n">
        <v>31845</v>
      </c>
      <c r="E54" s="24" t="n">
        <v>36164</v>
      </c>
      <c r="F54" s="24" t="n">
        <v>32486</v>
      </c>
    </row>
    <row r="55" customFormat="false" ht="15" hidden="false" customHeight="false" outlineLevel="0" collapsed="false">
      <c r="A55" s="6" t="s">
        <v>83</v>
      </c>
      <c r="B55" s="24"/>
      <c r="C55" s="24" t="n">
        <v>8205</v>
      </c>
      <c r="D55" s="24" t="n">
        <v>21548</v>
      </c>
      <c r="E55" s="24" t="n">
        <v>17554</v>
      </c>
      <c r="F55" s="24" t="n">
        <v>13164</v>
      </c>
    </row>
    <row r="56" customFormat="false" ht="15" hidden="false" customHeight="false" outlineLevel="0" collapsed="false">
      <c r="A56" s="6" t="s">
        <v>84</v>
      </c>
      <c r="B56" s="24" t="n">
        <v>12499</v>
      </c>
      <c r="C56" s="24" t="n">
        <v>19139</v>
      </c>
      <c r="D56" s="24" t="n">
        <v>30039</v>
      </c>
      <c r="E56" s="24" t="n">
        <v>27693</v>
      </c>
      <c r="F56" s="24" t="n">
        <v>28686</v>
      </c>
    </row>
    <row r="57" customFormat="false" ht="15" hidden="false" customHeight="false" outlineLevel="0" collapsed="false">
      <c r="A57" s="6" t="s">
        <v>85</v>
      </c>
      <c r="B57" s="24" t="n">
        <v>2134</v>
      </c>
      <c r="C57" s="24" t="n">
        <v>2806</v>
      </c>
      <c r="D57" s="24" t="n">
        <v>3400</v>
      </c>
      <c r="E57" s="24" t="n">
        <v>4057</v>
      </c>
      <c r="F57" s="24" t="n">
        <v>4198</v>
      </c>
    </row>
    <row r="58" customFormat="false" ht="15" hidden="false" customHeight="false" outlineLevel="0" collapsed="false">
      <c r="A58" s="4" t="s">
        <v>86</v>
      </c>
      <c r="B58" s="20" t="n">
        <f aca="false">SUM(B53:B57)</f>
        <v>117875</v>
      </c>
      <c r="C58" s="20" t="n">
        <f aca="false">SUM(C53:C57)</f>
        <v>143715</v>
      </c>
      <c r="D58" s="20" t="n">
        <f aca="false">SUM(D53:D57)</f>
        <v>176749</v>
      </c>
      <c r="E58" s="20" t="n">
        <f aca="false">SUM(E53:E57)</f>
        <v>175798</v>
      </c>
      <c r="F58" s="20" t="n">
        <f aca="false">SUM(F53:F57)</f>
        <v>175221</v>
      </c>
    </row>
    <row r="60" customFormat="false" ht="15" hidden="false" customHeight="false" outlineLevel="0" collapsed="false">
      <c r="A60" s="23" t="s">
        <v>87</v>
      </c>
      <c r="B60" s="23"/>
      <c r="C60" s="23"/>
      <c r="D60" s="23"/>
      <c r="E60" s="23"/>
      <c r="F60" s="23"/>
    </row>
    <row r="61" customFormat="false" ht="15" hidden="false" customHeight="false" outlineLevel="0" collapsed="false">
      <c r="A61" s="6" t="s">
        <v>88</v>
      </c>
      <c r="B61" s="25" t="n">
        <v>696</v>
      </c>
      <c r="C61" s="25" t="n">
        <v>869</v>
      </c>
      <c r="D61" s="25" t="n">
        <v>944</v>
      </c>
      <c r="E61" s="25" t="n">
        <v>962</v>
      </c>
      <c r="F61" s="25" t="n">
        <v>988</v>
      </c>
    </row>
    <row r="62" customFormat="false" ht="15" hidden="false" customHeight="false" outlineLevel="0" collapsed="false">
      <c r="A62" s="6" t="s">
        <v>89</v>
      </c>
      <c r="B62" s="25" t="n">
        <v>289</v>
      </c>
      <c r="C62" s="25" t="n">
        <v>306</v>
      </c>
      <c r="D62" s="25" t="n">
        <v>382</v>
      </c>
      <c r="E62" s="25" t="n">
        <v>356</v>
      </c>
      <c r="F62" s="25" t="n">
        <v>280</v>
      </c>
    </row>
    <row r="64" customFormat="false" ht="75.75" hidden="false" customHeight="true" outlineLevel="0" collapsed="false">
      <c r="A64" s="26" t="s">
        <v>90</v>
      </c>
      <c r="B64" s="26"/>
      <c r="C64" s="26"/>
      <c r="D64" s="26"/>
      <c r="E64" s="26"/>
      <c r="F64" s="26"/>
    </row>
    <row r="66" customFormat="false" ht="15" hidden="false" customHeight="false" outlineLevel="0" collapsed="false">
      <c r="A66" s="23" t="s">
        <v>91</v>
      </c>
      <c r="B66" s="23"/>
      <c r="C66" s="23"/>
      <c r="D66" s="23"/>
      <c r="E66" s="23"/>
      <c r="F66" s="23"/>
    </row>
    <row r="67" customFormat="false" ht="48" hidden="false" customHeight="true" outlineLevel="0" collapsed="false">
      <c r="A67" s="27" t="s">
        <v>92</v>
      </c>
      <c r="B67" s="28" t="s">
        <v>93</v>
      </c>
      <c r="C67" s="28"/>
      <c r="D67" s="28"/>
      <c r="E67" s="28"/>
      <c r="F67" s="28"/>
    </row>
    <row r="68" customFormat="false" ht="48" hidden="false" customHeight="true" outlineLevel="0" collapsed="false">
      <c r="A68" s="27" t="s">
        <v>3</v>
      </c>
      <c r="B68" s="28" t="s">
        <v>94</v>
      </c>
      <c r="C68" s="28"/>
      <c r="D68" s="28"/>
      <c r="E68" s="28"/>
      <c r="F68" s="28"/>
    </row>
    <row r="69" customFormat="false" ht="48" hidden="false" customHeight="true" outlineLevel="0" collapsed="false">
      <c r="A69" s="27" t="s">
        <v>95</v>
      </c>
      <c r="B69" s="28" t="s">
        <v>96</v>
      </c>
      <c r="C69" s="28"/>
      <c r="D69" s="28"/>
      <c r="E69" s="28"/>
      <c r="F69" s="28"/>
    </row>
    <row r="70" customFormat="false" ht="48" hidden="false" customHeight="true" outlineLevel="0" collapsed="false">
      <c r="A70" s="27" t="s">
        <v>6</v>
      </c>
      <c r="B70" s="28" t="s">
        <v>97</v>
      </c>
      <c r="C70" s="28"/>
      <c r="D70" s="28"/>
      <c r="E70" s="28"/>
      <c r="F70" s="28"/>
    </row>
  </sheetData>
  <mergeCells count="12">
    <mergeCell ref="A2:F2"/>
    <mergeCell ref="A43:F43"/>
    <mergeCell ref="A44:F44"/>
    <mergeCell ref="A51:F51"/>
    <mergeCell ref="A52:F52"/>
    <mergeCell ref="A60:F60"/>
    <mergeCell ref="A64:F64"/>
    <mergeCell ref="A66:F66"/>
    <mergeCell ref="B67:F67"/>
    <mergeCell ref="B68:F68"/>
    <mergeCell ref="B69:F69"/>
    <mergeCell ref="B70:F7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3" min="2" style="0" width="12"/>
    <col collapsed="false" customWidth="true" hidden="false" outlineLevel="0" max="4" min="4" style="0" width="18"/>
    <col collapsed="false" customWidth="true" hidden="false" outlineLevel="0" max="5" min="5" style="0" width="92"/>
  </cols>
  <sheetData>
    <row r="1" customFormat="false" ht="15" hidden="false" customHeight="false" outlineLevel="0" collapsed="false">
      <c r="A1" s="1" t="s">
        <v>98</v>
      </c>
    </row>
    <row r="2" customFormat="false" ht="33.75" hidden="false" customHeight="true" outlineLevel="0" collapsed="false">
      <c r="A2" s="2" t="s">
        <v>99</v>
      </c>
      <c r="B2" s="2"/>
      <c r="C2" s="2"/>
      <c r="D2" s="2"/>
      <c r="E2" s="2"/>
      <c r="F2" s="2"/>
    </row>
    <row r="4" customFormat="false" ht="30" hidden="false" customHeight="true" outlineLevel="0" collapsed="false">
      <c r="A4" s="29" t="s">
        <v>100</v>
      </c>
      <c r="B4" s="29" t="s">
        <v>101</v>
      </c>
      <c r="C4" s="29" t="s">
        <v>102</v>
      </c>
      <c r="D4" s="29" t="s">
        <v>103</v>
      </c>
      <c r="E4" s="29" t="s">
        <v>104</v>
      </c>
    </row>
    <row r="5" customFormat="false" ht="147.75" hidden="false" customHeight="true" outlineLevel="0" collapsed="false">
      <c r="A5" s="30" t="s">
        <v>2</v>
      </c>
      <c r="B5" s="31" t="n">
        <v>6</v>
      </c>
      <c r="C5" s="31" t="n">
        <v>7</v>
      </c>
      <c r="D5" s="32" t="n">
        <v>20.1</v>
      </c>
      <c r="E5" s="33" t="s">
        <v>105</v>
      </c>
    </row>
    <row r="6" customFormat="false" ht="147.75" hidden="false" customHeight="true" outlineLevel="0" collapsed="false">
      <c r="A6" s="30" t="s">
        <v>3</v>
      </c>
      <c r="B6" s="31" t="n">
        <v>7</v>
      </c>
      <c r="C6" s="31" t="n">
        <v>7</v>
      </c>
      <c r="D6" s="32" t="n">
        <v>24.1</v>
      </c>
      <c r="E6" s="33" t="s">
        <v>106</v>
      </c>
    </row>
    <row r="7" customFormat="false" ht="147.75" hidden="false" customHeight="true" outlineLevel="0" collapsed="false">
      <c r="A7" s="30" t="s">
        <v>4</v>
      </c>
      <c r="B7" s="31" t="n">
        <v>6</v>
      </c>
      <c r="C7" s="31" t="n">
        <v>6</v>
      </c>
      <c r="D7" s="32" t="n">
        <v>26.9</v>
      </c>
      <c r="E7" s="33" t="s">
        <v>107</v>
      </c>
    </row>
    <row r="8" customFormat="false" ht="147.75" hidden="false" customHeight="true" outlineLevel="0" collapsed="false">
      <c r="A8" s="30" t="s">
        <v>5</v>
      </c>
      <c r="B8" s="31" t="n">
        <v>7</v>
      </c>
      <c r="C8" s="31" t="n">
        <v>8</v>
      </c>
      <c r="D8" s="32" t="n">
        <v>29.9</v>
      </c>
      <c r="E8" s="33" t="s">
        <v>108</v>
      </c>
    </row>
    <row r="9" customFormat="false" ht="147.75" hidden="false" customHeight="true" outlineLevel="0" collapsed="false">
      <c r="A9" s="30" t="s">
        <v>6</v>
      </c>
      <c r="B9" s="31" t="n">
        <v>6</v>
      </c>
      <c r="C9" s="31" t="n">
        <v>7</v>
      </c>
      <c r="D9" s="32" t="n">
        <v>31.6</v>
      </c>
      <c r="E9" s="33" t="s">
        <v>109</v>
      </c>
    </row>
    <row r="11" customFormat="false" ht="15" hidden="false" customHeight="false" outlineLevel="0" collapsed="false">
      <c r="A11" s="34" t="s">
        <v>110</v>
      </c>
    </row>
    <row r="12" customFormat="false" ht="90" hidden="false" customHeight="true" outlineLevel="0" collapsed="false">
      <c r="A12" s="35" t="s">
        <v>111</v>
      </c>
      <c r="B12" s="35"/>
      <c r="C12" s="35"/>
      <c r="D12" s="35"/>
      <c r="E12" s="35"/>
    </row>
    <row r="14" customFormat="false" ht="15" hidden="false" customHeight="false" outlineLevel="0" collapsed="false">
      <c r="A14" s="36" t="s">
        <v>112</v>
      </c>
    </row>
    <row r="15" customFormat="false" ht="57.75" hidden="false" customHeight="true" outlineLevel="0" collapsed="false">
      <c r="A15" s="37" t="s">
        <v>113</v>
      </c>
      <c r="B15" s="37"/>
      <c r="C15" s="37"/>
      <c r="D15" s="37"/>
      <c r="E15" s="37"/>
    </row>
    <row r="16" customFormat="false" ht="57.75" hidden="false" customHeight="true" outlineLevel="0" collapsed="false">
      <c r="A16" s="37" t="s">
        <v>114</v>
      </c>
      <c r="B16" s="37"/>
      <c r="C16" s="37"/>
      <c r="D16" s="37"/>
      <c r="E16" s="37"/>
    </row>
    <row r="17" customFormat="false" ht="57.75" hidden="false" customHeight="true" outlineLevel="0" collapsed="false">
      <c r="A17" s="37" t="s">
        <v>115</v>
      </c>
      <c r="B17" s="37"/>
      <c r="C17" s="37"/>
      <c r="D17" s="37"/>
      <c r="E17" s="37"/>
    </row>
    <row r="18" customFormat="false" ht="57.75" hidden="false" customHeight="true" outlineLevel="0" collapsed="false">
      <c r="A18" s="37" t="s">
        <v>116</v>
      </c>
      <c r="B18" s="37"/>
      <c r="C18" s="37"/>
      <c r="D18" s="37"/>
      <c r="E18" s="37"/>
    </row>
    <row r="19" customFormat="false" ht="57.75" hidden="false" customHeight="true" outlineLevel="0" collapsed="false">
      <c r="A19" s="37" t="s">
        <v>117</v>
      </c>
      <c r="B19" s="37"/>
      <c r="C19" s="37"/>
      <c r="D19" s="37"/>
      <c r="E19" s="37"/>
    </row>
    <row r="20" customFormat="false" ht="57.75" hidden="false" customHeight="true" outlineLevel="0" collapsed="false">
      <c r="A20" s="37" t="s">
        <v>118</v>
      </c>
      <c r="B20" s="37"/>
      <c r="C20" s="37"/>
      <c r="D20" s="37"/>
      <c r="E20" s="37"/>
    </row>
  </sheetData>
  <mergeCells count="8">
    <mergeCell ref="A2:F2"/>
    <mergeCell ref="A12:E12"/>
    <mergeCell ref="A15:E15"/>
    <mergeCell ref="A16:E16"/>
    <mergeCell ref="A17:E17"/>
    <mergeCell ref="A18:E18"/>
    <mergeCell ref="A19:E19"/>
    <mergeCell ref="A20:E2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9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8"/>
    <col collapsed="false" customWidth="true" hidden="false" outlineLevel="0" max="3" min="2" style="0" width="16"/>
    <col collapsed="false" customWidth="true" hidden="false" outlineLevel="0" max="4" min="4" style="0" width="15"/>
    <col collapsed="false" customWidth="true" hidden="false" outlineLevel="0" max="5" min="5" style="0" width="44"/>
    <col collapsed="false" customWidth="true" hidden="false" outlineLevel="0" max="6" min="6" style="0" width="18"/>
  </cols>
  <sheetData>
    <row r="1" customFormat="false" ht="15" hidden="false" customHeight="false" outlineLevel="0" collapsed="false">
      <c r="A1" s="1" t="s">
        <v>119</v>
      </c>
    </row>
    <row r="2" customFormat="false" ht="96" hidden="false" customHeight="true" outlineLevel="0" collapsed="false">
      <c r="A2" s="26" t="s">
        <v>120</v>
      </c>
      <c r="B2" s="26"/>
      <c r="C2" s="26"/>
      <c r="D2" s="26"/>
      <c r="E2" s="26"/>
      <c r="F2" s="26"/>
    </row>
    <row r="4" customFormat="false" ht="15" hidden="false" customHeight="false" outlineLevel="0" collapsed="false">
      <c r="A4" s="23" t="s">
        <v>121</v>
      </c>
      <c r="B4" s="23"/>
      <c r="C4" s="23"/>
      <c r="D4" s="23"/>
      <c r="E4" s="23"/>
      <c r="F4" s="23"/>
    </row>
    <row r="5" customFormat="false" ht="15" hidden="false" customHeight="false" outlineLevel="0" collapsed="false">
      <c r="A5" s="6" t="s">
        <v>122</v>
      </c>
      <c r="B5" s="21" t="n">
        <f aca="false">'Income Statement'!F22</f>
        <v>21.69</v>
      </c>
    </row>
    <row r="6" customFormat="false" ht="39.75" hidden="false" customHeight="true" outlineLevel="0" collapsed="false">
      <c r="A6" s="2" t="s">
        <v>123</v>
      </c>
      <c r="B6" s="2"/>
      <c r="C6" s="2"/>
      <c r="D6" s="2"/>
      <c r="E6" s="2"/>
      <c r="F6" s="2"/>
    </row>
    <row r="7" customFormat="false" ht="15" hidden="false" customHeight="false" outlineLevel="0" collapsed="false">
      <c r="A7" s="6" t="s">
        <v>124</v>
      </c>
      <c r="B7" s="20" t="n">
        <v>41612</v>
      </c>
    </row>
    <row r="8" customFormat="false" ht="15" hidden="false" customHeight="false" outlineLevel="0" collapsed="false">
      <c r="A8" s="6" t="s">
        <v>125</v>
      </c>
      <c r="B8" s="21" t="n">
        <f aca="false">'Income Statement'!F24</f>
        <v>7.12</v>
      </c>
    </row>
    <row r="9" customFormat="false" ht="15" hidden="false" customHeight="false" outlineLevel="0" collapsed="false">
      <c r="A9" s="6" t="s">
        <v>126</v>
      </c>
      <c r="B9" s="20" t="n">
        <f aca="false">'Balance Sheet'!F25</f>
        <v>41739</v>
      </c>
    </row>
    <row r="10" customFormat="false" ht="15" hidden="false" customHeight="false" outlineLevel="0" collapsed="false">
      <c r="A10" s="6" t="s">
        <v>127</v>
      </c>
      <c r="B10" s="38" t="n">
        <f aca="false">'Balance Sheet'!F26</f>
        <v>116.3</v>
      </c>
    </row>
    <row r="11" customFormat="false" ht="54" hidden="false" customHeight="true" outlineLevel="0" collapsed="false">
      <c r="A11" s="39" t="s">
        <v>128</v>
      </c>
      <c r="B11" s="39"/>
      <c r="C11" s="39"/>
      <c r="D11" s="39"/>
      <c r="E11" s="39"/>
      <c r="F11" s="39"/>
    </row>
    <row r="13" customFormat="false" ht="15" hidden="false" customHeight="false" outlineLevel="0" collapsed="false">
      <c r="A13" s="23" t="s">
        <v>129</v>
      </c>
      <c r="B13" s="23"/>
      <c r="C13" s="23"/>
      <c r="D13" s="23"/>
      <c r="E13" s="23"/>
      <c r="F13" s="23"/>
    </row>
    <row r="14" customFormat="false" ht="25.5" hidden="false" customHeight="true" outlineLevel="0" collapsed="false">
      <c r="A14" s="40" t="s">
        <v>130</v>
      </c>
      <c r="B14" s="40" t="s">
        <v>131</v>
      </c>
      <c r="C14" s="40" t="s">
        <v>132</v>
      </c>
      <c r="D14" s="40" t="s">
        <v>133</v>
      </c>
      <c r="E14" s="40" t="s">
        <v>134</v>
      </c>
    </row>
    <row r="15" customFormat="false" ht="109.5" hidden="false" customHeight="true" outlineLevel="0" collapsed="false">
      <c r="A15" s="6" t="s">
        <v>135</v>
      </c>
      <c r="B15" s="41" t="n">
        <v>9</v>
      </c>
      <c r="C15" s="41" t="n">
        <v>12</v>
      </c>
      <c r="D15" s="41" t="n">
        <v>15</v>
      </c>
      <c r="E15" s="42" t="s">
        <v>136</v>
      </c>
    </row>
    <row r="16" customFormat="false" ht="109.5" hidden="false" customHeight="true" outlineLevel="0" collapsed="false">
      <c r="A16" s="6" t="s">
        <v>137</v>
      </c>
      <c r="B16" s="41" t="n">
        <v>5</v>
      </c>
      <c r="C16" s="41" t="n">
        <v>7</v>
      </c>
      <c r="D16" s="41" t="n">
        <v>9.5</v>
      </c>
      <c r="E16" s="42" t="s">
        <v>138</v>
      </c>
    </row>
    <row r="17" customFormat="false" ht="109.5" hidden="false" customHeight="true" outlineLevel="0" collapsed="false">
      <c r="A17" s="6" t="s">
        <v>139</v>
      </c>
      <c r="B17" s="43" t="n">
        <v>0.045</v>
      </c>
      <c r="C17" s="43" t="n">
        <v>0.0375</v>
      </c>
      <c r="D17" s="43" t="n">
        <v>0.03</v>
      </c>
      <c r="E17" s="42" t="s">
        <v>140</v>
      </c>
    </row>
    <row r="19" customFormat="false" ht="15" hidden="false" customHeight="false" outlineLevel="0" collapsed="false">
      <c r="A19" s="23" t="s">
        <v>141</v>
      </c>
      <c r="B19" s="23"/>
      <c r="C19" s="23"/>
      <c r="D19" s="23"/>
      <c r="E19" s="23"/>
      <c r="F19" s="23"/>
    </row>
    <row r="20" customFormat="false" ht="15" hidden="false" customHeight="false" outlineLevel="0" collapsed="false">
      <c r="A20" s="3"/>
      <c r="B20" s="3" t="s">
        <v>142</v>
      </c>
      <c r="C20" s="3" t="s">
        <v>143</v>
      </c>
      <c r="D20" s="3" t="s">
        <v>144</v>
      </c>
    </row>
    <row r="21" customFormat="false" ht="15" hidden="false" customHeight="false" outlineLevel="0" collapsed="false">
      <c r="A21" s="11" t="s">
        <v>145</v>
      </c>
    </row>
    <row r="22" customFormat="false" ht="16.15" hidden="false" customHeight="false" outlineLevel="0" collapsed="false">
      <c r="A22" s="6" t="s">
        <v>146</v>
      </c>
      <c r="B22" s="44" t="n">
        <f aca="false">$B$5*B15</f>
        <v>195.21</v>
      </c>
      <c r="C22" s="44" t="n">
        <f aca="false">$B$5*C15</f>
        <v>260.28</v>
      </c>
      <c r="D22" s="44" t="n">
        <f aca="false">$B$5*D15</f>
        <v>325.35</v>
      </c>
    </row>
    <row r="24" customFormat="false" ht="15" hidden="false" customHeight="false" outlineLevel="0" collapsed="false">
      <c r="A24" s="11" t="s">
        <v>147</v>
      </c>
    </row>
    <row r="25" customFormat="false" ht="15" hidden="false" customHeight="false" outlineLevel="0" collapsed="false">
      <c r="A25" s="6" t="s">
        <v>148</v>
      </c>
      <c r="B25" s="45" t="n">
        <f aca="false">$B$7*B16</f>
        <v>208060</v>
      </c>
      <c r="C25" s="45" t="n">
        <f aca="false">$B$7*C16</f>
        <v>291284</v>
      </c>
      <c r="D25" s="45" t="n">
        <f aca="false">$B$7*D16</f>
        <v>395314</v>
      </c>
    </row>
    <row r="26" customFormat="false" ht="15" hidden="false" customHeight="false" outlineLevel="0" collapsed="false">
      <c r="A26" s="6" t="s">
        <v>149</v>
      </c>
      <c r="B26" s="45" t="n">
        <f aca="false">B25+$B$9</f>
        <v>249799</v>
      </c>
      <c r="C26" s="45" t="n">
        <f aca="false">C25+$B$9</f>
        <v>333023</v>
      </c>
      <c r="D26" s="45" t="n">
        <f aca="false">D25+$B$9</f>
        <v>437053</v>
      </c>
    </row>
    <row r="27" customFormat="false" ht="16.15" hidden="false" customHeight="false" outlineLevel="0" collapsed="false">
      <c r="A27" s="46" t="s">
        <v>150</v>
      </c>
      <c r="B27" s="44" t="n">
        <f aca="false">B26/($B$10*1000)*100</f>
        <v>214.788478073947</v>
      </c>
      <c r="C27" s="44" t="n">
        <f aca="false">C26/($B$10*1000)*100</f>
        <v>286.348237317283</v>
      </c>
      <c r="D27" s="44" t="n">
        <f aca="false">D26/($B$10*1000)*100</f>
        <v>375.797936371453</v>
      </c>
    </row>
    <row r="29" customFormat="false" ht="15" hidden="false" customHeight="false" outlineLevel="0" collapsed="false">
      <c r="A29" s="11" t="s">
        <v>151</v>
      </c>
    </row>
    <row r="30" customFormat="false" ht="16.15" hidden="false" customHeight="false" outlineLevel="0" collapsed="false">
      <c r="A30" s="6" t="s">
        <v>152</v>
      </c>
      <c r="B30" s="44" t="n">
        <f aca="false">$B$8/B17</f>
        <v>158.222222222222</v>
      </c>
      <c r="C30" s="44" t="n">
        <f aca="false">$B$8/C17</f>
        <v>189.866666666667</v>
      </c>
      <c r="D30" s="44" t="n">
        <f aca="false">$B$8/D17</f>
        <v>237.333333333333</v>
      </c>
    </row>
    <row r="33" customFormat="false" ht="15" hidden="false" customHeight="false" outlineLevel="0" collapsed="false">
      <c r="A33" s="47" t="s">
        <v>153</v>
      </c>
      <c r="B33" s="47"/>
      <c r="C33" s="47"/>
      <c r="D33" s="47"/>
      <c r="E33" s="47"/>
      <c r="F33" s="47"/>
    </row>
    <row r="34" customFormat="false" ht="15" hidden="false" customHeight="false" outlineLevel="0" collapsed="false">
      <c r="A34" s="3"/>
      <c r="B34" s="3" t="s">
        <v>142</v>
      </c>
      <c r="C34" s="3" t="s">
        <v>143</v>
      </c>
      <c r="D34" s="3" t="s">
        <v>144</v>
      </c>
    </row>
    <row r="35" customFormat="false" ht="16.15" hidden="false" customHeight="false" outlineLevel="0" collapsed="false">
      <c r="A35" s="46" t="s">
        <v>154</v>
      </c>
      <c r="B35" s="48" t="n">
        <f aca="false">B22</f>
        <v>195.21</v>
      </c>
      <c r="C35" s="48" t="n">
        <f aca="false">C22</f>
        <v>260.28</v>
      </c>
      <c r="D35" s="48" t="n">
        <f aca="false">D22</f>
        <v>325.35</v>
      </c>
    </row>
    <row r="36" customFormat="false" ht="15" hidden="false" customHeight="false" outlineLevel="0" collapsed="false">
      <c r="A36" s="49" t="s">
        <v>155</v>
      </c>
      <c r="B36" s="50" t="n">
        <f aca="false">B27</f>
        <v>214.788478073947</v>
      </c>
      <c r="C36" s="50" t="n">
        <f aca="false">C27</f>
        <v>286.348237317283</v>
      </c>
      <c r="D36" s="50" t="n">
        <f aca="false">D27</f>
        <v>375.797936371453</v>
      </c>
    </row>
    <row r="37" customFormat="false" ht="15" hidden="false" customHeight="false" outlineLevel="0" collapsed="false">
      <c r="A37" s="49" t="s">
        <v>156</v>
      </c>
      <c r="B37" s="50" t="n">
        <f aca="false">B30</f>
        <v>158.222222222222</v>
      </c>
      <c r="C37" s="50" t="n">
        <f aca="false">C30</f>
        <v>189.866666666667</v>
      </c>
      <c r="D37" s="50" t="n">
        <f aca="false">D30</f>
        <v>237.333333333333</v>
      </c>
    </row>
    <row r="39" customFormat="false" ht="54" hidden="false" customHeight="true" outlineLevel="0" collapsed="false">
      <c r="A39" s="35" t="s">
        <v>157</v>
      </c>
      <c r="B39" s="35"/>
      <c r="C39" s="35"/>
      <c r="D39" s="35"/>
      <c r="E39" s="35"/>
      <c r="F39" s="35"/>
    </row>
    <row r="40" customFormat="false" ht="54" hidden="false" customHeight="true" outlineLevel="0" collapsed="false">
      <c r="A40" s="35" t="s">
        <v>158</v>
      </c>
      <c r="B40" s="35"/>
      <c r="C40" s="35"/>
      <c r="D40" s="35"/>
      <c r="E40" s="35"/>
      <c r="F40" s="35"/>
    </row>
    <row r="41" customFormat="false" ht="54" hidden="false" customHeight="true" outlineLevel="0" collapsed="false">
      <c r="A41" s="35" t="s">
        <v>159</v>
      </c>
      <c r="B41" s="35"/>
      <c r="C41" s="35"/>
      <c r="D41" s="35"/>
      <c r="E41" s="35"/>
      <c r="F41" s="35"/>
    </row>
    <row r="42" customFormat="false" ht="54" hidden="false" customHeight="true" outlineLevel="0" collapsed="false">
      <c r="A42" s="35" t="s">
        <v>160</v>
      </c>
      <c r="B42" s="35"/>
      <c r="C42" s="35"/>
      <c r="D42" s="35"/>
      <c r="E42" s="35"/>
      <c r="F42" s="35"/>
    </row>
    <row r="43" customFormat="false" ht="54" hidden="false" customHeight="true" outlineLevel="0" collapsed="false">
      <c r="A43" s="35" t="s">
        <v>161</v>
      </c>
      <c r="B43" s="35"/>
      <c r="C43" s="35"/>
      <c r="D43" s="35"/>
      <c r="E43" s="35"/>
      <c r="F43" s="35"/>
    </row>
    <row r="44" customFormat="false" ht="54" hidden="false" customHeight="true" outlineLevel="0" collapsed="false">
      <c r="A44" s="35" t="s">
        <v>162</v>
      </c>
      <c r="B44" s="35"/>
      <c r="C44" s="35"/>
      <c r="D44" s="35"/>
      <c r="E44" s="35"/>
      <c r="F44" s="35"/>
    </row>
    <row r="46" customFormat="false" ht="15" hidden="false" customHeight="false" outlineLevel="0" collapsed="false">
      <c r="A46" s="47" t="s">
        <v>163</v>
      </c>
      <c r="B46" s="47"/>
      <c r="C46" s="47"/>
      <c r="D46" s="47"/>
      <c r="E46" s="47"/>
      <c r="F46" s="47"/>
    </row>
    <row r="47" customFormat="false" ht="90" hidden="false" customHeight="true" outlineLevel="0" collapsed="false">
      <c r="A47" s="26" t="s">
        <v>164</v>
      </c>
      <c r="B47" s="26"/>
      <c r="C47" s="26"/>
      <c r="D47" s="26"/>
      <c r="E47" s="26"/>
      <c r="F47" s="26"/>
    </row>
    <row r="49" customFormat="false" ht="15" hidden="false" customHeight="false" outlineLevel="0" collapsed="false">
      <c r="A49" s="23" t="s">
        <v>165</v>
      </c>
      <c r="B49" s="23"/>
      <c r="C49" s="23"/>
      <c r="D49" s="23"/>
      <c r="E49" s="23"/>
      <c r="F49" s="23"/>
    </row>
    <row r="50" customFormat="false" ht="15" hidden="false" customHeight="false" outlineLevel="0" collapsed="false">
      <c r="A50" s="51" t="s">
        <v>166</v>
      </c>
      <c r="B50" s="51"/>
      <c r="C50" s="51"/>
      <c r="D50" s="51"/>
      <c r="E50" s="51"/>
      <c r="F50" s="51"/>
    </row>
    <row r="51" customFormat="false" ht="75.75" hidden="false" customHeight="true" outlineLevel="0" collapsed="false">
      <c r="A51" s="28" t="s">
        <v>167</v>
      </c>
      <c r="B51" s="28"/>
      <c r="C51" s="28"/>
      <c r="D51" s="28"/>
      <c r="E51" s="28"/>
      <c r="F51" s="28"/>
    </row>
    <row r="52" customFormat="false" ht="15" hidden="false" customHeight="false" outlineLevel="0" collapsed="false">
      <c r="A52" s="51" t="s">
        <v>168</v>
      </c>
      <c r="B52" s="51"/>
      <c r="C52" s="51"/>
      <c r="D52" s="51"/>
      <c r="E52" s="51"/>
      <c r="F52" s="51"/>
    </row>
    <row r="53" customFormat="false" ht="75.75" hidden="false" customHeight="true" outlineLevel="0" collapsed="false">
      <c r="A53" s="28" t="s">
        <v>169</v>
      </c>
      <c r="B53" s="28"/>
      <c r="C53" s="28"/>
      <c r="D53" s="28"/>
      <c r="E53" s="28"/>
      <c r="F53" s="28"/>
    </row>
    <row r="54" customFormat="false" ht="15" hidden="false" customHeight="false" outlineLevel="0" collapsed="false">
      <c r="A54" s="51" t="s">
        <v>170</v>
      </c>
      <c r="B54" s="51"/>
      <c r="C54" s="51"/>
      <c r="D54" s="51"/>
      <c r="E54" s="51"/>
      <c r="F54" s="51"/>
    </row>
    <row r="55" customFormat="false" ht="75.75" hidden="false" customHeight="true" outlineLevel="0" collapsed="false">
      <c r="A55" s="28" t="s">
        <v>171</v>
      </c>
      <c r="B55" s="28"/>
      <c r="C55" s="28"/>
      <c r="D55" s="28"/>
      <c r="E55" s="28"/>
      <c r="F55" s="28"/>
    </row>
    <row r="56" customFormat="false" ht="15" hidden="false" customHeight="false" outlineLevel="0" collapsed="false">
      <c r="A56" s="51" t="s">
        <v>172</v>
      </c>
      <c r="B56" s="51"/>
      <c r="C56" s="51"/>
      <c r="D56" s="51"/>
      <c r="E56" s="51"/>
      <c r="F56" s="51"/>
    </row>
    <row r="57" customFormat="false" ht="75.75" hidden="false" customHeight="true" outlineLevel="0" collapsed="false">
      <c r="A57" s="28" t="s">
        <v>173</v>
      </c>
      <c r="B57" s="28"/>
      <c r="C57" s="28"/>
      <c r="D57" s="28"/>
      <c r="E57" s="28"/>
      <c r="F57" s="28"/>
    </row>
    <row r="58" customFormat="false" ht="15" hidden="false" customHeight="false" outlineLevel="0" collapsed="false">
      <c r="A58" s="51" t="s">
        <v>174</v>
      </c>
      <c r="B58" s="51"/>
      <c r="C58" s="51"/>
      <c r="D58" s="51"/>
      <c r="E58" s="51"/>
      <c r="F58" s="51"/>
    </row>
    <row r="59" customFormat="false" ht="75.75" hidden="false" customHeight="true" outlineLevel="0" collapsed="false">
      <c r="A59" s="28" t="s">
        <v>175</v>
      </c>
      <c r="B59" s="28"/>
      <c r="C59" s="28"/>
      <c r="D59" s="28"/>
      <c r="E59" s="28"/>
      <c r="F59" s="28"/>
    </row>
    <row r="60" customFormat="false" ht="15" hidden="false" customHeight="false" outlineLevel="0" collapsed="false">
      <c r="A60" s="51" t="s">
        <v>176</v>
      </c>
      <c r="B60" s="51"/>
      <c r="C60" s="51"/>
      <c r="D60" s="51"/>
      <c r="E60" s="51"/>
      <c r="F60" s="51"/>
    </row>
    <row r="61" customFormat="false" ht="75.75" hidden="false" customHeight="true" outlineLevel="0" collapsed="false">
      <c r="A61" s="28" t="s">
        <v>177</v>
      </c>
      <c r="B61" s="28"/>
      <c r="C61" s="28"/>
      <c r="D61" s="28"/>
      <c r="E61" s="28"/>
      <c r="F61" s="28"/>
    </row>
    <row r="62" customFormat="false" ht="15" hidden="false" customHeight="false" outlineLevel="0" collapsed="false">
      <c r="A62" s="51" t="s">
        <v>178</v>
      </c>
      <c r="B62" s="51"/>
      <c r="C62" s="51"/>
      <c r="D62" s="51"/>
      <c r="E62" s="51"/>
      <c r="F62" s="51"/>
    </row>
    <row r="63" customFormat="false" ht="75.75" hidden="false" customHeight="true" outlineLevel="0" collapsed="false">
      <c r="A63" s="28" t="s">
        <v>179</v>
      </c>
      <c r="B63" s="28"/>
      <c r="C63" s="28"/>
      <c r="D63" s="28"/>
      <c r="E63" s="28"/>
      <c r="F63" s="28"/>
    </row>
    <row r="65" customFormat="false" ht="21.75" hidden="false" customHeight="true" outlineLevel="0" collapsed="false">
      <c r="A65" s="40" t="s">
        <v>180</v>
      </c>
      <c r="B65" s="40" t="s">
        <v>181</v>
      </c>
      <c r="C65" s="40" t="s">
        <v>182</v>
      </c>
      <c r="D65" s="40" t="s">
        <v>183</v>
      </c>
      <c r="E65" s="40" t="s">
        <v>184</v>
      </c>
      <c r="F65" s="40" t="s">
        <v>185</v>
      </c>
    </row>
    <row r="66" customFormat="false" ht="24" hidden="false" customHeight="true" outlineLevel="0" collapsed="false">
      <c r="A66" s="6" t="s">
        <v>186</v>
      </c>
      <c r="B66" s="52" t="n">
        <v>14.5</v>
      </c>
      <c r="C66" s="52" t="n">
        <v>4.6</v>
      </c>
      <c r="D66" s="52" t="n">
        <v>0.28</v>
      </c>
      <c r="E66" s="53" t="n">
        <v>0.0384</v>
      </c>
      <c r="F66" s="54" t="s">
        <v>187</v>
      </c>
    </row>
    <row r="67" customFormat="false" ht="24" hidden="false" customHeight="true" outlineLevel="0" collapsed="false">
      <c r="A67" s="6" t="s">
        <v>188</v>
      </c>
      <c r="B67" s="52" t="n">
        <v>16.83</v>
      </c>
      <c r="C67" s="52" t="n">
        <v>14.52</v>
      </c>
      <c r="D67" s="52" t="n">
        <v>0.82</v>
      </c>
      <c r="E67" s="53" t="n">
        <v>0.0632</v>
      </c>
      <c r="F67" s="54" t="s">
        <v>189</v>
      </c>
    </row>
    <row r="68" customFormat="false" ht="24" hidden="false" customHeight="true" outlineLevel="0" collapsed="false">
      <c r="A68" s="6" t="s">
        <v>190</v>
      </c>
      <c r="B68" s="52" t="n">
        <v>7.99</v>
      </c>
      <c r="C68" s="52" t="n">
        <v>6.14</v>
      </c>
      <c r="D68" s="52" t="n">
        <v>0.52</v>
      </c>
      <c r="E68" s="53" t="n">
        <v>0.0619</v>
      </c>
      <c r="F68" s="54" t="s">
        <v>189</v>
      </c>
    </row>
    <row r="69" customFormat="false" ht="24" hidden="false" customHeight="true" outlineLevel="0" collapsed="false">
      <c r="A69" s="6" t="s">
        <v>191</v>
      </c>
      <c r="B69" s="52" t="n">
        <v>6.53</v>
      </c>
      <c r="C69" s="52" t="n">
        <v>3.91</v>
      </c>
      <c r="D69" s="52" t="n">
        <v>0.61</v>
      </c>
      <c r="E69" s="53" t="n">
        <v>0.0118</v>
      </c>
      <c r="F69" s="54" t="s">
        <v>192</v>
      </c>
    </row>
    <row r="70" customFormat="false" ht="24" hidden="false" customHeight="true" outlineLevel="0" collapsed="false">
      <c r="A70" s="6" t="s">
        <v>193</v>
      </c>
      <c r="B70" s="52" t="n">
        <v>36.2</v>
      </c>
      <c r="C70" s="52" t="n">
        <v>21.82</v>
      </c>
      <c r="D70" s="52" t="n">
        <v>5.5</v>
      </c>
      <c r="E70" s="53" t="n">
        <v>0.0069</v>
      </c>
      <c r="F70" s="54" t="s">
        <v>194</v>
      </c>
    </row>
    <row r="71" customFormat="false" ht="24" hidden="false" customHeight="true" outlineLevel="0" collapsed="false">
      <c r="A71" s="6" t="s">
        <v>195</v>
      </c>
      <c r="B71" s="52" t="n">
        <v>26.52</v>
      </c>
      <c r="C71" s="52" t="n">
        <v>21.11</v>
      </c>
      <c r="D71" s="52" t="n">
        <v>5.07</v>
      </c>
      <c r="E71" s="53" t="n">
        <v>0.0182</v>
      </c>
      <c r="F71" s="54" t="s">
        <v>189</v>
      </c>
    </row>
    <row r="72" customFormat="false" ht="24" hidden="false" customHeight="true" outlineLevel="0" collapsed="false">
      <c r="A72" s="6" t="s">
        <v>196</v>
      </c>
      <c r="B72" s="52" t="n">
        <v>23.72</v>
      </c>
      <c r="C72" s="52" t="n">
        <v>13.23</v>
      </c>
      <c r="D72" s="52"/>
      <c r="E72" s="53" t="n">
        <v>0.019</v>
      </c>
      <c r="F72" s="54" t="s">
        <v>192</v>
      </c>
    </row>
    <row r="73" customFormat="false" ht="15" hidden="false" customHeight="false" outlineLevel="0" collapsed="false">
      <c r="A73" s="4" t="s">
        <v>197</v>
      </c>
      <c r="B73" s="55" t="n">
        <f aca="false">AVERAGE(B66:B68)</f>
        <v>13.1066666666667</v>
      </c>
      <c r="C73" s="55" t="n">
        <f aca="false">AVERAGE(C66:C68)</f>
        <v>8.42</v>
      </c>
    </row>
    <row r="74" customFormat="false" ht="15" hidden="false" customHeight="false" outlineLevel="0" collapsed="false">
      <c r="A74" s="4" t="s">
        <v>198</v>
      </c>
    </row>
    <row r="75" customFormat="false" ht="15" hidden="false" customHeight="false" outlineLevel="0" collapsed="false">
      <c r="B75" s="56" t="n">
        <f aca="false">C15</f>
        <v>12</v>
      </c>
      <c r="C75" s="56" t="n">
        <f aca="false">C16</f>
        <v>7</v>
      </c>
    </row>
    <row r="77" customFormat="false" ht="109.5" hidden="false" customHeight="true" outlineLevel="0" collapsed="false">
      <c r="A77" s="35" t="s">
        <v>199</v>
      </c>
      <c r="B77" s="35"/>
      <c r="C77" s="35"/>
      <c r="D77" s="35"/>
      <c r="E77" s="35"/>
      <c r="F77" s="35"/>
    </row>
    <row r="79" customFormat="false" ht="15" hidden="false" customHeight="false" outlineLevel="0" collapsed="false">
      <c r="A79" s="47" t="s">
        <v>200</v>
      </c>
      <c r="B79" s="47"/>
      <c r="C79" s="47"/>
      <c r="D79" s="47"/>
      <c r="E79" s="47"/>
      <c r="F79" s="47"/>
    </row>
    <row r="80" customFormat="false" ht="27.75" hidden="false" customHeight="true" outlineLevel="0" collapsed="false">
      <c r="A80" s="26" t="s">
        <v>201</v>
      </c>
      <c r="B80" s="26"/>
      <c r="C80" s="26"/>
      <c r="D80" s="26"/>
      <c r="E80" s="26"/>
      <c r="F80" s="26"/>
    </row>
    <row r="82" customFormat="false" ht="25.5" hidden="false" customHeight="true" outlineLevel="0" collapsed="false">
      <c r="A82" s="57" t="s">
        <v>130</v>
      </c>
      <c r="B82" s="57"/>
      <c r="C82" s="57" t="s">
        <v>202</v>
      </c>
      <c r="D82" s="57"/>
      <c r="E82" s="58"/>
      <c r="F82" s="58"/>
    </row>
    <row r="83" customFormat="false" ht="150" hidden="false" customHeight="true" outlineLevel="0" collapsed="false">
      <c r="A83" s="59" t="s">
        <v>203</v>
      </c>
      <c r="B83" s="59"/>
      <c r="C83" s="28" t="s">
        <v>204</v>
      </c>
      <c r="D83" s="28"/>
      <c r="E83" s="60" t="s">
        <v>205</v>
      </c>
      <c r="F83" s="60"/>
    </row>
    <row r="84" customFormat="false" ht="150" hidden="false" customHeight="true" outlineLevel="0" collapsed="false">
      <c r="A84" s="59" t="s">
        <v>206</v>
      </c>
      <c r="B84" s="59"/>
      <c r="C84" s="28" t="s">
        <v>207</v>
      </c>
      <c r="D84" s="28"/>
      <c r="E84" s="60" t="s">
        <v>208</v>
      </c>
      <c r="F84" s="60"/>
    </row>
    <row r="85" customFormat="false" ht="150" hidden="false" customHeight="true" outlineLevel="0" collapsed="false">
      <c r="A85" s="59" t="s">
        <v>209</v>
      </c>
      <c r="B85" s="59"/>
      <c r="C85" s="28" t="s">
        <v>210</v>
      </c>
      <c r="D85" s="28"/>
      <c r="E85" s="60" t="s">
        <v>211</v>
      </c>
      <c r="F85" s="60"/>
    </row>
    <row r="86" customFormat="false" ht="150" hidden="false" customHeight="true" outlineLevel="0" collapsed="false">
      <c r="A86" s="59" t="s">
        <v>212</v>
      </c>
      <c r="B86" s="59"/>
      <c r="C86" s="28" t="s">
        <v>213</v>
      </c>
      <c r="D86" s="28"/>
      <c r="E86" s="60" t="s">
        <v>214</v>
      </c>
      <c r="F86" s="60"/>
    </row>
    <row r="88" customFormat="false" ht="25.5" hidden="false" customHeight="true" outlineLevel="0" collapsed="false">
      <c r="A88" s="2" t="s">
        <v>215</v>
      </c>
      <c r="B88" s="2"/>
      <c r="C88" s="2"/>
      <c r="D88" s="2"/>
      <c r="E88" s="2"/>
      <c r="F88" s="2"/>
    </row>
    <row r="90" customFormat="false" ht="27.75" hidden="false" customHeight="true" outlineLevel="0" collapsed="false">
      <c r="A90" s="18" t="s">
        <v>216</v>
      </c>
      <c r="B90" s="18"/>
      <c r="C90" s="18"/>
      <c r="D90" s="18"/>
      <c r="E90" s="18"/>
      <c r="F90" s="18"/>
    </row>
  </sheetData>
  <mergeCells count="50">
    <mergeCell ref="A2:F2"/>
    <mergeCell ref="A4:F4"/>
    <mergeCell ref="A6:F6"/>
    <mergeCell ref="A11:F11"/>
    <mergeCell ref="A13:F13"/>
    <mergeCell ref="A19:F19"/>
    <mergeCell ref="A33:F33"/>
    <mergeCell ref="A39:F39"/>
    <mergeCell ref="A40:F40"/>
    <mergeCell ref="A41:F41"/>
    <mergeCell ref="A42:F42"/>
    <mergeCell ref="A43:F43"/>
    <mergeCell ref="A44:F44"/>
    <mergeCell ref="A46:F46"/>
    <mergeCell ref="A47:F47"/>
    <mergeCell ref="A49:F49"/>
    <mergeCell ref="A50:F50"/>
    <mergeCell ref="A51:F51"/>
    <mergeCell ref="A52:F52"/>
    <mergeCell ref="A53:F53"/>
    <mergeCell ref="A54:F54"/>
    <mergeCell ref="A55:F55"/>
    <mergeCell ref="A56:F56"/>
    <mergeCell ref="A57:F57"/>
    <mergeCell ref="A58:F58"/>
    <mergeCell ref="A59:F59"/>
    <mergeCell ref="A60:F60"/>
    <mergeCell ref="A61:F61"/>
    <mergeCell ref="A62:F62"/>
    <mergeCell ref="A63:F63"/>
    <mergeCell ref="A77:F77"/>
    <mergeCell ref="A79:F79"/>
    <mergeCell ref="A80:F80"/>
    <mergeCell ref="A82:B82"/>
    <mergeCell ref="C82:D82"/>
    <mergeCell ref="E82:F82"/>
    <mergeCell ref="A83:B83"/>
    <mergeCell ref="C83:D83"/>
    <mergeCell ref="E83:F83"/>
    <mergeCell ref="A84:B84"/>
    <mergeCell ref="C84:D84"/>
    <mergeCell ref="E84:F84"/>
    <mergeCell ref="A85:B85"/>
    <mergeCell ref="C85:D85"/>
    <mergeCell ref="E85:F85"/>
    <mergeCell ref="A86:B86"/>
    <mergeCell ref="C86:D86"/>
    <mergeCell ref="E86:F86"/>
    <mergeCell ref="A88:F88"/>
    <mergeCell ref="A90:F9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6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6"/>
    <col collapsed="false" customWidth="true" hidden="false" outlineLevel="0" max="2" min="2" style="0" width="18"/>
    <col collapsed="false" customWidth="true" hidden="false" outlineLevel="0" max="3" min="3" style="0" width="20"/>
    <col collapsed="false" customWidth="true" hidden="false" outlineLevel="0" max="4" min="4" style="0" width="50"/>
    <col collapsed="false" customWidth="true" hidden="false" outlineLevel="0" max="6" min="5" style="0" width="14"/>
  </cols>
  <sheetData>
    <row r="1" customFormat="false" ht="15" hidden="false" customHeight="false" outlineLevel="0" collapsed="false">
      <c r="A1" s="1" t="s">
        <v>217</v>
      </c>
    </row>
    <row r="2" customFormat="false" ht="103.5" hidden="false" customHeight="true" outlineLevel="0" collapsed="false">
      <c r="A2" s="26" t="s">
        <v>218</v>
      </c>
      <c r="B2" s="26"/>
      <c r="C2" s="26"/>
      <c r="D2" s="26"/>
      <c r="E2" s="26"/>
      <c r="F2" s="26"/>
    </row>
    <row r="4" customFormat="false" ht="15" hidden="false" customHeight="false" outlineLevel="0" collapsed="false">
      <c r="A4" s="23" t="s">
        <v>219</v>
      </c>
      <c r="B4" s="23"/>
      <c r="C4" s="23"/>
      <c r="D4" s="23"/>
      <c r="E4" s="23"/>
      <c r="F4" s="23"/>
    </row>
    <row r="5" customFormat="false" ht="15" hidden="false" customHeight="false" outlineLevel="0" collapsed="false">
      <c r="A5" s="6" t="s">
        <v>220</v>
      </c>
      <c r="B5" s="38" t="n">
        <f aca="false">'Balance Sheet'!F26</f>
        <v>116.3</v>
      </c>
      <c r="C5" s="61" t="s">
        <v>221</v>
      </c>
    </row>
    <row r="6" customFormat="false" ht="27.75" hidden="false" customHeight="true" outlineLevel="0" collapsed="false">
      <c r="A6" s="2" t="s">
        <v>222</v>
      </c>
      <c r="B6" s="2"/>
      <c r="C6" s="2"/>
      <c r="D6" s="2"/>
      <c r="E6" s="2"/>
      <c r="F6" s="2"/>
    </row>
    <row r="7" customFormat="false" ht="15" hidden="false" customHeight="false" outlineLevel="0" collapsed="false">
      <c r="A7" s="62" t="s">
        <v>223</v>
      </c>
      <c r="B7" s="2" t="s">
        <v>224</v>
      </c>
      <c r="C7" s="2"/>
      <c r="D7" s="2"/>
    </row>
    <row r="9" customFormat="false" ht="15" hidden="false" customHeight="false" outlineLevel="0" collapsed="false">
      <c r="A9" s="23" t="s">
        <v>225</v>
      </c>
      <c r="B9" s="23"/>
      <c r="C9" s="23"/>
      <c r="D9" s="23"/>
      <c r="E9" s="23"/>
      <c r="F9" s="23"/>
    </row>
    <row r="10" customFormat="false" ht="21.75" hidden="false" customHeight="true" outlineLevel="0" collapsed="false">
      <c r="A10" s="40" t="s">
        <v>226</v>
      </c>
      <c r="B10" s="40" t="s">
        <v>227</v>
      </c>
      <c r="C10" s="40" t="s">
        <v>228</v>
      </c>
      <c r="D10" s="57" t="s">
        <v>229</v>
      </c>
      <c r="E10" s="57"/>
      <c r="F10" s="57"/>
    </row>
    <row r="11" customFormat="false" ht="48" hidden="false" customHeight="true" outlineLevel="0" collapsed="false">
      <c r="A11" s="63" t="s">
        <v>230</v>
      </c>
      <c r="B11" s="64" t="s">
        <v>231</v>
      </c>
      <c r="C11" s="64" t="s">
        <v>232</v>
      </c>
      <c r="D11" s="60" t="s">
        <v>233</v>
      </c>
      <c r="E11" s="60"/>
      <c r="F11" s="60"/>
    </row>
    <row r="12" customFormat="false" ht="48" hidden="false" customHeight="true" outlineLevel="0" collapsed="false">
      <c r="A12" s="63" t="s">
        <v>234</v>
      </c>
      <c r="B12" s="64" t="s">
        <v>235</v>
      </c>
      <c r="C12" s="64" t="s">
        <v>236</v>
      </c>
      <c r="D12" s="60" t="s">
        <v>237</v>
      </c>
      <c r="E12" s="60"/>
      <c r="F12" s="60"/>
    </row>
    <row r="13" customFormat="false" ht="48" hidden="false" customHeight="true" outlineLevel="0" collapsed="false">
      <c r="A13" s="65" t="s">
        <v>238</v>
      </c>
      <c r="B13" s="64" t="s">
        <v>239</v>
      </c>
      <c r="C13" s="66" t="s">
        <v>236</v>
      </c>
      <c r="D13" s="60" t="s">
        <v>240</v>
      </c>
      <c r="E13" s="60"/>
      <c r="F13" s="60"/>
    </row>
    <row r="14" customFormat="false" ht="48" hidden="false" customHeight="true" outlineLevel="0" collapsed="false">
      <c r="A14" s="65" t="s">
        <v>241</v>
      </c>
      <c r="B14" s="64" t="s">
        <v>242</v>
      </c>
      <c r="C14" s="66" t="s">
        <v>243</v>
      </c>
      <c r="D14" s="60" t="s">
        <v>244</v>
      </c>
      <c r="E14" s="60"/>
      <c r="F14" s="60"/>
    </row>
    <row r="15" customFormat="false" ht="48" hidden="false" customHeight="true" outlineLevel="0" collapsed="false">
      <c r="A15" s="65" t="s">
        <v>245</v>
      </c>
      <c r="B15" s="64" t="s">
        <v>242</v>
      </c>
      <c r="C15" s="66" t="s">
        <v>243</v>
      </c>
      <c r="D15" s="60" t="s">
        <v>246</v>
      </c>
      <c r="E15" s="60"/>
      <c r="F15" s="60"/>
    </row>
    <row r="16" customFormat="false" ht="48" hidden="false" customHeight="true" outlineLevel="0" collapsed="false">
      <c r="A16" s="63" t="s">
        <v>247</v>
      </c>
      <c r="B16" s="64" t="s">
        <v>248</v>
      </c>
      <c r="C16" s="67" t="s">
        <v>249</v>
      </c>
      <c r="D16" s="60" t="s">
        <v>250</v>
      </c>
      <c r="E16" s="60"/>
      <c r="F16" s="60"/>
    </row>
    <row r="18" customFormat="false" ht="39.75" hidden="false" customHeight="true" outlineLevel="0" collapsed="false">
      <c r="A18" s="68" t="s">
        <v>251</v>
      </c>
      <c r="B18" s="68"/>
      <c r="C18" s="68"/>
      <c r="D18" s="68"/>
      <c r="E18" s="68"/>
      <c r="F18" s="68"/>
    </row>
    <row r="19" customFormat="false" ht="31.5" hidden="false" customHeight="true" outlineLevel="0" collapsed="false">
      <c r="A19" s="26" t="s">
        <v>252</v>
      </c>
      <c r="B19" s="26"/>
      <c r="C19" s="26"/>
      <c r="D19" s="26"/>
      <c r="E19" s="26"/>
      <c r="F19" s="26"/>
    </row>
    <row r="21" customFormat="false" ht="15" hidden="false" customHeight="false" outlineLevel="0" collapsed="false">
      <c r="A21" s="23" t="s">
        <v>253</v>
      </c>
      <c r="B21" s="23"/>
      <c r="C21" s="23"/>
      <c r="D21" s="23"/>
      <c r="E21" s="23"/>
      <c r="F21" s="23"/>
    </row>
    <row r="22" customFormat="false" ht="21.75" hidden="false" customHeight="true" outlineLevel="0" collapsed="false">
      <c r="A22" s="40" t="s">
        <v>254</v>
      </c>
      <c r="B22" s="40" t="s">
        <v>255</v>
      </c>
      <c r="C22" s="40" t="s">
        <v>256</v>
      </c>
      <c r="D22" s="57" t="s">
        <v>257</v>
      </c>
      <c r="E22" s="57"/>
      <c r="F22" s="57"/>
    </row>
    <row r="23" customFormat="false" ht="27.75" hidden="false" customHeight="true" outlineLevel="0" collapsed="false">
      <c r="A23" s="65" t="s">
        <v>258</v>
      </c>
      <c r="B23" s="45" t="n">
        <v>25370000</v>
      </c>
      <c r="C23" s="69" t="n">
        <f aca="false">B23/(B5*1000000)</f>
        <v>0.218142734307825</v>
      </c>
      <c r="D23" s="70" t="s">
        <v>259</v>
      </c>
      <c r="E23" s="70"/>
      <c r="F23" s="70"/>
    </row>
    <row r="24" customFormat="false" ht="27.75" hidden="false" customHeight="true" outlineLevel="0" collapsed="false">
      <c r="A24" s="65" t="s">
        <v>260</v>
      </c>
      <c r="B24" s="45" t="n">
        <v>24540000</v>
      </c>
      <c r="C24" s="69" t="n">
        <f aca="false">B24/(B5*1000000)</f>
        <v>0.211006018916595</v>
      </c>
      <c r="D24" s="70" t="s">
        <v>259</v>
      </c>
      <c r="E24" s="70"/>
      <c r="F24" s="70"/>
    </row>
    <row r="25" customFormat="false" ht="27.75" hidden="false" customHeight="true" outlineLevel="0" collapsed="false">
      <c r="A25" s="65" t="s">
        <v>261</v>
      </c>
      <c r="B25" s="45" t="n">
        <v>3194502</v>
      </c>
      <c r="C25" s="69" t="n">
        <f aca="false">B25/(B5*1000000)</f>
        <v>0.0274677730008598</v>
      </c>
      <c r="D25" s="70" t="s">
        <v>262</v>
      </c>
      <c r="E25" s="70"/>
      <c r="F25" s="70"/>
    </row>
    <row r="26" customFormat="false" ht="27.75" hidden="false" customHeight="true" outlineLevel="0" collapsed="false">
      <c r="A26" s="71" t="s">
        <v>263</v>
      </c>
      <c r="B26" s="45" t="n">
        <v>366000</v>
      </c>
      <c r="C26" s="69" t="n">
        <f aca="false">B26/(B5*1000000)</f>
        <v>0.00314703353396389</v>
      </c>
      <c r="D26" s="70" t="s">
        <v>264</v>
      </c>
      <c r="E26" s="70"/>
      <c r="F26" s="70"/>
    </row>
    <row r="27" customFormat="false" ht="27.75" hidden="false" customHeight="true" outlineLevel="0" collapsed="false">
      <c r="A27" s="71" t="s">
        <v>265</v>
      </c>
      <c r="B27" s="45" t="n">
        <v>120000</v>
      </c>
      <c r="C27" s="69" t="n">
        <f aca="false">B27/(B5*1000000)</f>
        <v>0.00103181427343078</v>
      </c>
      <c r="D27" s="70" t="s">
        <v>266</v>
      </c>
      <c r="E27" s="70"/>
      <c r="F27" s="70"/>
    </row>
    <row r="28" customFormat="false" ht="27.75" hidden="false" customHeight="true" outlineLevel="0" collapsed="false">
      <c r="A28" s="71" t="s">
        <v>267</v>
      </c>
      <c r="B28" s="45" t="n">
        <v>0</v>
      </c>
      <c r="C28" s="69" t="n">
        <f aca="false">B28/(B5*1000000)</f>
        <v>0</v>
      </c>
      <c r="D28" s="70" t="s">
        <v>268</v>
      </c>
      <c r="E28" s="70"/>
      <c r="F28" s="70"/>
    </row>
    <row r="29" customFormat="false" ht="15" hidden="false" customHeight="false" outlineLevel="0" collapsed="false">
      <c r="A29" s="4" t="s">
        <v>269</v>
      </c>
      <c r="B29" s="20" t="n">
        <f aca="false">B23+B24+B25+B26+B27+B28</f>
        <v>53590502</v>
      </c>
    </row>
    <row r="30" customFormat="false" ht="15" hidden="false" customHeight="false" outlineLevel="0" collapsed="false">
      <c r="A30" s="4" t="s">
        <v>270</v>
      </c>
      <c r="C30" s="72" t="n">
        <f aca="false">B29/(B5*1000000)</f>
        <v>0.460795374032674</v>
      </c>
    </row>
    <row r="31" customFormat="false" ht="15" hidden="false" customHeight="false" outlineLevel="0" collapsed="false">
      <c r="A31" s="4" t="s">
        <v>271</v>
      </c>
      <c r="C31" s="73" t="n">
        <f aca="false">(B23+B24+B25)/(B5*1000000)</f>
        <v>0.456616526225279</v>
      </c>
    </row>
    <row r="33" customFormat="false" ht="55.5" hidden="false" customHeight="true" outlineLevel="0" collapsed="false">
      <c r="A33" s="74" t="s">
        <v>272</v>
      </c>
      <c r="B33" s="74"/>
      <c r="C33" s="74"/>
      <c r="D33" s="74"/>
      <c r="E33" s="74"/>
      <c r="F33" s="74"/>
    </row>
    <row r="35" customFormat="false" ht="15" hidden="false" customHeight="false" outlineLevel="0" collapsed="false">
      <c r="A35" s="23" t="s">
        <v>273</v>
      </c>
      <c r="B35" s="23"/>
      <c r="C35" s="23"/>
      <c r="D35" s="23"/>
      <c r="E35" s="23"/>
      <c r="F35" s="23"/>
    </row>
    <row r="36" customFormat="false" ht="25.5" hidden="false" customHeight="true" outlineLevel="0" collapsed="false">
      <c r="A36" s="40" t="s">
        <v>274</v>
      </c>
      <c r="B36" s="40" t="s">
        <v>275</v>
      </c>
      <c r="C36" s="57" t="s">
        <v>276</v>
      </c>
      <c r="D36" s="57"/>
      <c r="E36" s="57"/>
      <c r="F36" s="57"/>
    </row>
    <row r="37" customFormat="false" ht="45.75" hidden="false" customHeight="true" outlineLevel="0" collapsed="false">
      <c r="A37" s="6" t="s">
        <v>277</v>
      </c>
      <c r="B37" s="69" t="n">
        <v>0.058</v>
      </c>
      <c r="C37" s="28" t="s">
        <v>278</v>
      </c>
      <c r="D37" s="28"/>
      <c r="E37" s="28"/>
      <c r="F37" s="28"/>
    </row>
    <row r="38" customFormat="false" ht="45.75" hidden="false" customHeight="true" outlineLevel="0" collapsed="false">
      <c r="A38" s="6" t="s">
        <v>279</v>
      </c>
      <c r="B38" s="69" t="n">
        <v>0.042</v>
      </c>
      <c r="C38" s="28" t="s">
        <v>280</v>
      </c>
      <c r="D38" s="28"/>
      <c r="E38" s="28"/>
      <c r="F38" s="28"/>
    </row>
    <row r="40" customFormat="false" ht="15.75" hidden="false" customHeight="true" outlineLevel="0" collapsed="false">
      <c r="A40" s="75" t="s">
        <v>281</v>
      </c>
      <c r="B40" s="75"/>
      <c r="C40" s="75"/>
      <c r="D40" s="75"/>
      <c r="E40" s="75"/>
      <c r="F40" s="75"/>
    </row>
    <row r="41" customFormat="false" ht="55.5" hidden="false" customHeight="true" outlineLevel="0" collapsed="false">
      <c r="A41" s="18" t="s">
        <v>282</v>
      </c>
      <c r="B41" s="18"/>
      <c r="C41" s="18"/>
      <c r="D41" s="18"/>
      <c r="E41" s="18"/>
      <c r="F41" s="18"/>
    </row>
    <row r="43" customFormat="false" ht="15" hidden="false" customHeight="false" outlineLevel="0" collapsed="false">
      <c r="A43" s="23" t="s">
        <v>283</v>
      </c>
      <c r="B43" s="23"/>
      <c r="C43" s="23"/>
      <c r="D43" s="23"/>
      <c r="E43" s="23"/>
      <c r="F43" s="23"/>
    </row>
    <row r="44" customFormat="false" ht="33.75" hidden="false" customHeight="true" outlineLevel="0" collapsed="false">
      <c r="A44" s="28" t="s">
        <v>284</v>
      </c>
      <c r="B44" s="28"/>
      <c r="C44" s="28"/>
      <c r="D44" s="28"/>
      <c r="E44" s="28"/>
      <c r="F44" s="28"/>
    </row>
    <row r="45" customFormat="false" ht="31.5" hidden="false" customHeight="true" outlineLevel="0" collapsed="false">
      <c r="A45" s="28" t="s">
        <v>285</v>
      </c>
      <c r="B45" s="28"/>
      <c r="C45" s="28"/>
      <c r="D45" s="28"/>
      <c r="E45" s="28"/>
      <c r="F45" s="28"/>
    </row>
    <row r="46" customFormat="false" ht="31.5" hidden="false" customHeight="true" outlineLevel="0" collapsed="false">
      <c r="A46" s="28" t="s">
        <v>286</v>
      </c>
      <c r="B46" s="28"/>
      <c r="C46" s="28"/>
      <c r="D46" s="28"/>
      <c r="E46" s="28"/>
      <c r="F46" s="28"/>
    </row>
    <row r="47" customFormat="false" ht="33.75" hidden="false" customHeight="true" outlineLevel="0" collapsed="false">
      <c r="A47" s="28" t="s">
        <v>287</v>
      </c>
      <c r="B47" s="28"/>
      <c r="C47" s="28"/>
      <c r="D47" s="28"/>
      <c r="E47" s="28"/>
      <c r="F47" s="28"/>
    </row>
    <row r="48" customFormat="false" ht="45.75" hidden="false" customHeight="true" outlineLevel="0" collapsed="false">
      <c r="A48" s="28" t="s">
        <v>288</v>
      </c>
      <c r="B48" s="28"/>
      <c r="C48" s="28"/>
      <c r="D48" s="28"/>
      <c r="E48" s="28"/>
      <c r="F48" s="28"/>
    </row>
    <row r="50" customFormat="false" ht="15" hidden="false" customHeight="false" outlineLevel="0" collapsed="false">
      <c r="A50" s="23" t="s">
        <v>289</v>
      </c>
      <c r="B50" s="23"/>
      <c r="C50" s="23"/>
      <c r="D50" s="23"/>
      <c r="E50" s="23"/>
      <c r="F50" s="23"/>
    </row>
    <row r="51" customFormat="false" ht="15" hidden="false" customHeight="false" outlineLevel="0" collapsed="false">
      <c r="A51" s="6" t="s">
        <v>290</v>
      </c>
      <c r="C51" s="73" t="n">
        <f aca="false">C31</f>
        <v>0.456616526225279</v>
      </c>
    </row>
    <row r="52" customFormat="false" ht="15" hidden="false" customHeight="false" outlineLevel="0" collapsed="false">
      <c r="A52" s="6" t="s">
        <v>291</v>
      </c>
      <c r="C52" s="76" t="n">
        <f aca="false">(B29/(B5*1000000))+B37+B38</f>
        <v>0.560795374032674</v>
      </c>
    </row>
    <row r="54" customFormat="false" ht="57.75" hidden="false" customHeight="true" outlineLevel="0" collapsed="false">
      <c r="A54" s="28" t="s">
        <v>292</v>
      </c>
      <c r="B54" s="28"/>
      <c r="C54" s="28"/>
      <c r="D54" s="28"/>
      <c r="E54" s="28"/>
      <c r="F54" s="28"/>
    </row>
    <row r="55" customFormat="false" ht="57.75" hidden="false" customHeight="true" outlineLevel="0" collapsed="false">
      <c r="A55" s="28" t="s">
        <v>293</v>
      </c>
      <c r="B55" s="28"/>
      <c r="C55" s="28"/>
      <c r="D55" s="28"/>
      <c r="E55" s="28"/>
      <c r="F55" s="28"/>
    </row>
    <row r="56" customFormat="false" ht="57.75" hidden="false" customHeight="true" outlineLevel="0" collapsed="false">
      <c r="A56" s="28" t="s">
        <v>294</v>
      </c>
      <c r="B56" s="28"/>
      <c r="C56" s="28"/>
      <c r="D56" s="28"/>
      <c r="E56" s="28"/>
      <c r="F56" s="28"/>
    </row>
    <row r="57" customFormat="false" ht="57.75" hidden="false" customHeight="true" outlineLevel="0" collapsed="false">
      <c r="A57" s="28" t="s">
        <v>295</v>
      </c>
      <c r="B57" s="28"/>
      <c r="C57" s="28"/>
      <c r="D57" s="28"/>
      <c r="E57" s="28"/>
      <c r="F57" s="28"/>
    </row>
    <row r="59" customFormat="false" ht="15" hidden="false" customHeight="false" outlineLevel="0" collapsed="false">
      <c r="A59" s="23" t="s">
        <v>296</v>
      </c>
      <c r="B59" s="23"/>
      <c r="C59" s="23"/>
      <c r="D59" s="23"/>
      <c r="E59" s="23"/>
      <c r="F59" s="23"/>
    </row>
    <row r="60" customFormat="false" ht="73.5" hidden="false" customHeight="true" outlineLevel="0" collapsed="false">
      <c r="A60" s="28" t="s">
        <v>297</v>
      </c>
      <c r="B60" s="28"/>
      <c r="C60" s="28"/>
      <c r="D60" s="28"/>
      <c r="E60" s="28"/>
      <c r="F60" s="28"/>
    </row>
    <row r="61" customFormat="false" ht="61.5" hidden="false" customHeight="true" outlineLevel="0" collapsed="false">
      <c r="A61" s="28" t="s">
        <v>298</v>
      </c>
      <c r="B61" s="28"/>
      <c r="C61" s="28"/>
      <c r="D61" s="28"/>
      <c r="E61" s="28"/>
      <c r="F61" s="28"/>
    </row>
    <row r="62" customFormat="false" ht="75.75" hidden="false" customHeight="true" outlineLevel="0" collapsed="false">
      <c r="A62" s="28" t="s">
        <v>299</v>
      </c>
      <c r="B62" s="28"/>
      <c r="C62" s="28"/>
      <c r="D62" s="28"/>
      <c r="E62" s="28"/>
      <c r="F62" s="28"/>
    </row>
    <row r="63" customFormat="false" ht="69.75" hidden="false" customHeight="true" outlineLevel="0" collapsed="false">
      <c r="A63" s="28" t="s">
        <v>300</v>
      </c>
      <c r="B63" s="28"/>
      <c r="C63" s="28"/>
      <c r="D63" s="28"/>
      <c r="E63" s="28"/>
      <c r="F63" s="28"/>
    </row>
    <row r="64" customFormat="false" ht="57.75" hidden="false" customHeight="true" outlineLevel="0" collapsed="false">
      <c r="A64" s="28" t="s">
        <v>301</v>
      </c>
      <c r="B64" s="28"/>
      <c r="C64" s="28"/>
      <c r="D64" s="28"/>
      <c r="E64" s="28"/>
      <c r="F64" s="28"/>
    </row>
    <row r="66" customFormat="false" ht="31.5" hidden="false" customHeight="true" outlineLevel="0" collapsed="false">
      <c r="A66" s="2" t="s">
        <v>302</v>
      </c>
      <c r="B66" s="2"/>
      <c r="C66" s="2"/>
      <c r="D66" s="2"/>
      <c r="E66" s="2"/>
      <c r="F66" s="2"/>
    </row>
  </sheetData>
  <mergeCells count="47">
    <mergeCell ref="A2:F2"/>
    <mergeCell ref="A4:F4"/>
    <mergeCell ref="A6:F6"/>
    <mergeCell ref="B7:D7"/>
    <mergeCell ref="A9:F9"/>
    <mergeCell ref="D10:F10"/>
    <mergeCell ref="D11:F11"/>
    <mergeCell ref="D12:F12"/>
    <mergeCell ref="D13:F13"/>
    <mergeCell ref="D14:F14"/>
    <mergeCell ref="D15:F15"/>
    <mergeCell ref="D16:F16"/>
    <mergeCell ref="A18:F18"/>
    <mergeCell ref="A19:F19"/>
    <mergeCell ref="A21:F21"/>
    <mergeCell ref="D22:F22"/>
    <mergeCell ref="D23:F23"/>
    <mergeCell ref="D24:F24"/>
    <mergeCell ref="D25:F25"/>
    <mergeCell ref="D26:F26"/>
    <mergeCell ref="D27:F27"/>
    <mergeCell ref="D28:F28"/>
    <mergeCell ref="A33:F33"/>
    <mergeCell ref="A35:F35"/>
    <mergeCell ref="C36:F36"/>
    <mergeCell ref="C37:F37"/>
    <mergeCell ref="C38:F38"/>
    <mergeCell ref="A40:F40"/>
    <mergeCell ref="A41:F41"/>
    <mergeCell ref="A43:F43"/>
    <mergeCell ref="A44:F44"/>
    <mergeCell ref="A45:F45"/>
    <mergeCell ref="A46:F46"/>
    <mergeCell ref="A47:F47"/>
    <mergeCell ref="A48:F48"/>
    <mergeCell ref="A50:F50"/>
    <mergeCell ref="A54:F54"/>
    <mergeCell ref="A55:F55"/>
    <mergeCell ref="A56:F56"/>
    <mergeCell ref="A57:F57"/>
    <mergeCell ref="A59:F59"/>
    <mergeCell ref="A60:F60"/>
    <mergeCell ref="A61:F61"/>
    <mergeCell ref="A62:F62"/>
    <mergeCell ref="A63:F63"/>
    <mergeCell ref="A64:F64"/>
    <mergeCell ref="A66:F66"/>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2026-08-29T16:04:51Z</dcterms:created>
  <dc:creator>openpyxl</dc:creator>
  <dc:description/>
  <dc:language>en-US</dc:language>
  <cp:lastModifiedBy/>
  <dcterms:modified xsi:type="dcterms:W3CDTF">2026-08-29T16:04:53Z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