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d.docs.live.net/61a278b9387e4a33/Public/AI_screening_and_valuation_project/ARBB_Arbuthnot-Banking-Group/"/>
    </mc:Choice>
  </mc:AlternateContent>
  <xr:revisionPtr revIDLastSave="7" documentId="11_52431AAAE28CB51281353337CFB56FCFC3D2612E" xr6:coauthVersionLast="47" xr6:coauthVersionMax="47" xr10:uidLastSave="{9EE94BFC-EEBC-4AB7-97FD-FC290DDE1696}"/>
  <bookViews>
    <workbookView xWindow="28680" yWindow="-120" windowWidth="29040" windowHeight="15720" tabRatio="500" xr2:uid="{00000000-000D-0000-FFFF-FFFF00000000}"/>
  </bookViews>
  <sheets>
    <sheet name="Income Statement" sheetId="1" r:id="rId1"/>
    <sheet name="Balance Sheet" sheetId="2" r:id="rId2"/>
    <sheet name="Cash Flow" sheetId="3" r:id="rId3"/>
    <sheet name="Bank KPIs" sheetId="4" r:id="rId4"/>
    <sheet name="Sentiment &amp; Mgmt Quality" sheetId="5" r:id="rId5"/>
    <sheet name="Valuation" sheetId="6" r:id="rId6"/>
    <sheet name="Ownership" sheetId="7" r:id="rId7"/>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B68" i="7" l="1"/>
  <c r="C68" i="7" s="1"/>
  <c r="C67" i="7"/>
  <c r="C52" i="7"/>
  <c r="B52" i="7"/>
  <c r="C45" i="7"/>
  <c r="B45" i="7"/>
  <c r="C44" i="7"/>
  <c r="C43" i="7"/>
  <c r="C42" i="7"/>
  <c r="B38" i="7"/>
  <c r="C38" i="7" s="1"/>
  <c r="C37" i="7"/>
  <c r="C36" i="7"/>
  <c r="C35" i="7"/>
  <c r="C34" i="7"/>
  <c r="C33" i="7"/>
  <c r="D69" i="6"/>
  <c r="C69" i="6"/>
  <c r="D66" i="6"/>
  <c r="C66" i="6"/>
  <c r="B66" i="6"/>
  <c r="D65" i="6"/>
  <c r="C65" i="6"/>
  <c r="B65" i="6"/>
  <c r="D64" i="6"/>
  <c r="C64" i="6"/>
  <c r="B64" i="6"/>
  <c r="D28" i="6"/>
  <c r="D34" i="6" s="1"/>
  <c r="B25" i="6"/>
  <c r="C28" i="6" s="1"/>
  <c r="C34" i="6" s="1"/>
  <c r="D16" i="6"/>
  <c r="C16" i="6"/>
  <c r="B69" i="6" s="1"/>
  <c r="B16" i="6"/>
  <c r="B6" i="6"/>
  <c r="G24" i="4"/>
  <c r="B5" i="6" s="1"/>
  <c r="F24" i="4"/>
  <c r="G20" i="4"/>
  <c r="F20" i="4"/>
  <c r="E20" i="4"/>
  <c r="D20" i="4"/>
  <c r="C20" i="4"/>
  <c r="B20" i="4"/>
  <c r="G8" i="3"/>
  <c r="F8" i="3"/>
  <c r="E8" i="3"/>
  <c r="D8" i="3"/>
  <c r="C8" i="3"/>
  <c r="B8" i="3"/>
  <c r="G29" i="2"/>
  <c r="F29" i="2"/>
  <c r="G28" i="2"/>
  <c r="F28" i="2"/>
  <c r="E28" i="2"/>
  <c r="D28" i="2"/>
  <c r="C28" i="2"/>
  <c r="B28" i="2"/>
  <c r="G22" i="2"/>
  <c r="F22" i="2"/>
  <c r="E22" i="2"/>
  <c r="E29" i="2" s="1"/>
  <c r="D22" i="2"/>
  <c r="D29" i="2" s="1"/>
  <c r="D30" i="2" s="1"/>
  <c r="C22" i="2"/>
  <c r="C29" i="2" s="1"/>
  <c r="B22" i="2"/>
  <c r="B29" i="2" s="1"/>
  <c r="B30" i="2" s="1"/>
  <c r="G16" i="2"/>
  <c r="G30" i="2" s="1"/>
  <c r="F16" i="2"/>
  <c r="F30" i="2" s="1"/>
  <c r="E16" i="2"/>
  <c r="E30" i="2" s="1"/>
  <c r="D16" i="2"/>
  <c r="C16" i="2"/>
  <c r="B16" i="2"/>
  <c r="G16" i="1"/>
  <c r="F16" i="1"/>
  <c r="E16" i="1"/>
  <c r="D16" i="1"/>
  <c r="C16" i="1"/>
  <c r="B16" i="1"/>
  <c r="G12" i="1"/>
  <c r="G17" i="1" s="1"/>
  <c r="G23" i="1" s="1"/>
  <c r="G25" i="1" s="1"/>
  <c r="F12" i="1"/>
  <c r="F17" i="1" s="1"/>
  <c r="F23" i="1" s="1"/>
  <c r="F25" i="1" s="1"/>
  <c r="G11" i="1"/>
  <c r="F11" i="1"/>
  <c r="E11" i="1"/>
  <c r="D11" i="1"/>
  <c r="C11" i="1"/>
  <c r="B11" i="1"/>
  <c r="G8" i="1"/>
  <c r="F8" i="1"/>
  <c r="E8" i="1"/>
  <c r="E12" i="1" s="1"/>
  <c r="E17" i="1" s="1"/>
  <c r="E23" i="1" s="1"/>
  <c r="E25" i="1" s="1"/>
  <c r="D8" i="1"/>
  <c r="D12" i="1" s="1"/>
  <c r="D17" i="1" s="1"/>
  <c r="D23" i="1" s="1"/>
  <c r="D25" i="1" s="1"/>
  <c r="C8" i="1"/>
  <c r="C12" i="1" s="1"/>
  <c r="C17" i="1" s="1"/>
  <c r="C23" i="1" s="1"/>
  <c r="C25" i="1" s="1"/>
  <c r="B8" i="1"/>
  <c r="B12" i="1" s="1"/>
  <c r="B17" i="1" s="1"/>
  <c r="B23" i="1" s="1"/>
  <c r="B25" i="1" s="1"/>
  <c r="C30" i="2" l="1"/>
  <c r="B20" i="6"/>
  <c r="D20" i="6"/>
  <c r="C20" i="6"/>
  <c r="C24" i="4"/>
  <c r="B24" i="4"/>
  <c r="D24" i="4"/>
  <c r="B28" i="6"/>
  <c r="B34" i="6" s="1"/>
  <c r="E24" i="4"/>
  <c r="B66" i="7"/>
  <c r="D33" i="6" l="1"/>
  <c r="D21" i="6"/>
  <c r="B69" i="7"/>
  <c r="C66" i="7"/>
  <c r="C33" i="6"/>
  <c r="C21" i="6"/>
  <c r="B33" i="6"/>
  <c r="B21" i="6"/>
  <c r="B70" i="7" l="1"/>
  <c r="C70" i="7" s="1"/>
  <c r="C69"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19" authorId="0" shapeId="0" xr:uid="{00000000-0006-0000-0000-000001000000}">
      <text>
        <r>
          <rPr>
            <sz val="10"/>
            <rFont val="Arial"/>
            <family val="2"/>
          </rPr>
          <t>One-off accounting gain on the Asset Alliance Group acquisition (completed 1 April 2021): the price paid was below the fair value of net assets acquired, so IFRS requires the difference to be recognised immediately in profit. Flatters FY2021 reported PBT; excluded from 'underlying' profit in management's own presentations.</t>
        </r>
      </text>
    </comment>
    <comment ref="A20" authorId="0" shapeId="0" xr:uid="{00000000-0006-0000-0000-000002000000}">
      <text>
        <r>
          <rPr>
            <sz val="10"/>
            <rFont val="Arial"/>
            <family val="2"/>
          </rPr>
          <t>One-off loss on disposal of the King Street commercial property (West End). Chairman's FY2022 statement notes this was completed deliberately ahead of a forecast &gt;20% fall in commercial property values. Depresses FY2022 reported PBT relative to underlying.</t>
        </r>
      </text>
    </comment>
    <comment ref="A29" authorId="0" shapeId="0" xr:uid="{00000000-0006-0000-0000-000003000000}">
      <text>
        <r>
          <rPr>
            <sz val="10"/>
            <rFont val="Arial"/>
            <family val="2"/>
          </rPr>
          <t>FY2021's 21p special dividend was in lieu of the FY2019 final dividend, which was cancelled in early 2020 on PRA guidance to UK banks during COVID-19 — paid in Feb 2021, so it lands in the FY2021 dividend record even though it relates to FY2019 economics. FY2024's 20p special was a distinct, separately-declared special dividend.</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11" authorId="0" shapeId="0" xr:uid="{00000000-0006-0000-0100-000001000000}">
      <text>
        <r>
          <rPr>
            <sz val="10"/>
            <rFont val="Arial"/>
            <family val="2"/>
          </rPr>
          <t>Combines several smaller lines (assets classified as held for sale, current/deferred tax assets, other assets, financial investments) to keep this tab to one screen. Full line-by-line detail is in the source annual report balance sheets in 01_filings/.</t>
        </r>
      </text>
    </comment>
    <comment ref="A19" authorId="0" shapeId="0" xr:uid="{00000000-0006-0000-0100-000002000000}">
      <text>
        <r>
          <rPr>
            <sz val="10"/>
            <rFont val="Arial"/>
            <family val="2"/>
          </rPr>
          <t>Share premium of £11.6m was first recorded in FY2023 following an equity issuance; combined here with share capital (nominal value) for compactness.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5" authorId="0" shapeId="0" xr:uid="{00000000-0006-0000-0200-000001000000}">
      <text>
        <r>
          <rPr>
            <sz val="10"/>
            <rFont val="Arial"/>
            <family val="2"/>
          </rPr>
          <t>FY2020's operating cash flow was reported as £287,160k in the FY2020 annual report; the FY2021 report's prior-year comparative restates it to £289,793k (a £2.6m / 0.9% difference, cause not disclosed in the text reviewed). The FY2020-as-originally-reported figure is used here for consistency with 'as first reported' figures elsewhere in this workbook.</t>
        </r>
      </text>
    </comment>
    <comment ref="A10" authorId="0" shapeId="0" xr:uid="{00000000-0006-0000-0200-000002000000}">
      <text>
        <r>
          <rPr>
            <sz val="10"/>
            <rFont val="Arial"/>
            <family val="2"/>
          </rPr>
          <t>Only populated for years directly confirmed in the source filings read (FY2021, FY2024, FY2025); FY2020/22/23 opening/closing cash figures were not independently pulled and are left blank rather than estimated. The Net (decrease)/increase in cash line above is fully derived from the three activity lines for every year and is independently reliable.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12" authorId="0" shapeId="0" xr:uid="{00000000-0006-0000-0300-000001000000}">
      <text>
        <r>
          <rPr>
            <sz val="10"/>
            <rFont val="Arial"/>
            <family val="2"/>
          </rPr>
          <t>FY2020 and FY2021 predate the company's presentation-deck KPI format, so no directly comparable company-reported figure was located. The memo row below computes an equivalent ratio (operating expenses / total group operating income) directly from the Income Statement tab for those two years so the trend is unbroken, but it is a same-methodology approximation, not a company-published figure -- flagged accordingly.</t>
        </r>
      </text>
    </comment>
    <comment ref="A15" authorId="0" shapeId="0" xr:uid="{00000000-0006-0000-0300-000002000000}">
      <text>
        <r>
          <rPr>
            <sz val="10"/>
            <rFont val="Arial"/>
            <family val="2"/>
          </rPr>
          <t>Company's own reported Annualised ROAE from results presentations. Not independently recomputed here because the company does not disclose whether it averages opening/closing equity, a monthly average, or excludes specific items -- recomputing from the Balance Sheet tab (simple average of opening/closing Total equity) gives a materially similar but not identical figure, so the as-reported number is used to stay consistent with how management measures itself.</t>
        </r>
      </text>
    </comment>
    <comment ref="A23" authorId="0" shapeId="0" xr:uid="{00000000-0006-0000-0300-000003000000}">
      <text>
        <r>
          <rPr>
            <sz val="10"/>
            <rFont val="Arial"/>
            <family val="2"/>
          </rPr>
          <t>DATA FLAG: the FY2021 Annual Report's own five-year summary reported 2021 NAV/share as 1,314.7p. The FY2025 Annual Report's five-year summary restates 2021 NAV/share as 1,337.2p (+22.5p, +1.7%) on a basis not explained in the text reviewed -- possibly a share-count or reserve reclassification. This workbook uses the AS-ORIGINALLY-REPORTED figure for 2020 (1,269.8p) and the RESTATED/CURRENT-BASIS series for 2021-2025 (i.e. the FY2025 report's own 5-year table), since that keeps 2021-2025 on one consistent basis; 2020 could not be cross-checked against a later restatement. Treat the FY2020-to-FY2021 change with slightly more caution than the other year-on-year moves.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B59" authorId="0" shapeId="0" xr:uid="{00000000-0006-0000-0500-000001000000}">
      <text>
        <r>
          <rPr>
            <sz val="10"/>
            <rFont val="Arial"/>
            <family val="2"/>
          </rPr>
          <t>Share 412.6p; TNAV/sh 870p. Source: Investegate H1 FY26 report, 17 Mar 2026 -- https://www.investegate.co.uk/announcement/rns/close-brothers-group--cbg/half-year-report-for-six-months-to-31-january-2026/9476982 . Statutory EPS is negative (a GBP135m H1 FY26 motor-finance redress provision) so statutory P/E is not meaningful; the 7.6x shown is a rough extrapolation from adjusted H1 EPS (27.1p x2), not company-disclosed. ROTE of 6.3% is redress-provision-depressed -- treat this whole row as a stressed outlier, not a normalised comparable.</t>
        </r>
      </text>
    </comment>
    <comment ref="B60" authorId="0" shapeId="0" xr:uid="{00000000-0006-0000-0500-000002000000}">
      <text>
        <r>
          <rPr>
            <sz val="10"/>
            <rFont val="Arial"/>
            <family val="2"/>
          </rPr>
          <t>Share 1,481.0p; TNAV/sh 2,045p. Source: Investing.com, STB H1 2026 results slides, 13 Aug 2026 -- https://www.investing.com/news/company-news/secure-trust-bank-h1-2026-slides-profit-rises-94-capital-strong-93CH-4858795 . P/E of 5.3x uses a trailing-12-month EPS of 277.6p that I constructed (FY25 238.8p - H1 2025 87.6p + H1 2026 126.4p); FY25-only EPS alone gives 6.2x. ROE shown is FY2025 statutory ROAE of 14.3% (STB FY25 press release); H1 2026 annualised was 12.3%. STB sold its consumer vehicle finance business Feb 2026 -- current business mix excludes motor finance.</t>
        </r>
      </text>
    </comment>
    <comment ref="B61" authorId="0" shapeId="0" xr:uid="{00000000-0006-0000-0500-000003000000}">
      <text>
        <r>
          <rPr>
            <sz val="10"/>
            <rFont val="Arial"/>
            <family val="2"/>
          </rPr>
          <t>Share 797.5p; TNAV/sh 758p, sourced from a Reuters-via-LSE.co.uk news report -- https://www.lse.co.uk/news/paragon-banking-hikes-payout-though-profit-slips-on-impairments-rqcp7jf08revaq7.html -- because Paragon's own H1 FY26 RNS PDF was blocked by robots.txt when checked; re-verify against the primary filing (Investegate ID 9595957) before relying on this figure precisely. P/E of 8.6x uses a trailing-12-month EPS I constructed (93.2p = FY25 91.2p - H1FY25 50.1p + H1FY26 52.1p). ROTE shown is statutory 16.1% (H1 FY26, annualised); underlying/adjusted ROTE was 17.4%.</t>
        </r>
      </text>
    </comment>
    <comment ref="B62" authorId="0" shapeId="0" xr:uid="{00000000-0006-0000-0500-000004000000}">
      <text>
        <r>
          <rPr>
            <sz val="10"/>
            <rFont val="Arial"/>
            <family val="2"/>
          </rPr>
          <t>Share ~514.5p; TNAV/sh 584p. Source: OSB Group H1 2026 Interim Report, GlobeNewswire, 6 Aug 2026 -- https://www.globenewswire.com/news-release/2026/08/06/3339942/0/en/osb-group-plc-interim-report-for-the-six-months-ended-30-june-2026.html . P/E of 6.8x divides the current price by FY2025 annual EPS of 75.6p (not a true trailing-12-month figure). RoTE of 13.7% is FY2025 statutory (H1 2026 was 13.3%); OSB does not separately disclose a statutory ROE, RoTE is its primary reported return metric.</t>
        </r>
      </text>
    </comment>
    <comment ref="B63" authorId="0" shapeId="0" xr:uid="{00000000-0006-0000-0500-000005000000}">
      <text>
        <r>
          <rPr>
            <sz val="10"/>
            <rFont val="Arial"/>
            <family val="2"/>
          </rPr>
          <t>Share 2,000p; NAV/sh approx. 2,049p -- both figures are my own calculation from disclosed net assets (GBP249.0m) and share count, not a company-quoted per-share figure. Source: S&amp;U Final Results PDF, 21 Apr 2026 -- https://suplc.co.uk/files/final-results-feb-2026.pdf . Group ROE of 9.7% is also my calculation (net profit / average equity); the company discloses only segment ROCE (Advantage 11.1%, Aspen 11.2%). No tangible NAV is separately disclosed, so this is P/NAV not P/TNAV. Structurally the weakest match of the five (no deposit funding, not a bank) -- included mainly as a founder/family-governance comparable to ARBB's own combined Chairman/CEO structure, not a funding-model comparable.</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A50" authorId="0" shapeId="0" xr:uid="{00000000-0006-0000-0600-000001000000}">
      <text>
        <r>
          <rPr>
            <sz val="10"/>
            <rFont val="Arial"/>
            <family val="2"/>
          </rPr>
          <t>UK-listed active fund manager; multi-year holder (was disclosed at 10.7% in mid-2024 per a separate RNS, so this is a declining position, not a new one).</t>
        </r>
      </text>
    </comment>
    <comment ref="A51" authorId="0" shapeId="0" xr:uid="{00000000-0006-0000-0600-000002000000}">
      <text>
        <r>
          <rPr>
            <sz val="10"/>
            <rFont val="Arial"/>
            <family val="2"/>
          </rPr>
          <t>UK smaller-companies specialist fund manager (Mark Slater).</t>
        </r>
      </text>
    </comment>
  </commentList>
</comments>
</file>

<file path=xl/sharedStrings.xml><?xml version="1.0" encoding="utf-8"?>
<sst xmlns="http://schemas.openxmlformats.org/spreadsheetml/2006/main" count="369" uniqueCount="307">
  <si>
    <t>Arbuthnot Banking Group PLC (ARBB) — Consolidated Income Statement, GBP 000s</t>
  </si>
  <si>
    <t>Source: Consolidated Statement of Comprehensive Income, Annual Report &amp; Accounts, each fiscal year (year ended 31 December). All figures as originally reported.</t>
  </si>
  <si>
    <t>FY2020</t>
  </si>
  <si>
    <t>FY2021</t>
  </si>
  <si>
    <t>FY2022</t>
  </si>
  <si>
    <t>FY2023</t>
  </si>
  <si>
    <t>FY2024</t>
  </si>
  <si>
    <t>FY2025</t>
  </si>
  <si>
    <t>Income from banking activities</t>
  </si>
  <si>
    <t xml:space="preserve">  Interest income</t>
  </si>
  <si>
    <t xml:space="preserve">  Interest expense</t>
  </si>
  <si>
    <t>Net interest income</t>
  </si>
  <si>
    <t xml:space="preserve">  Fee and commission income</t>
  </si>
  <si>
    <t xml:space="preserve">  Fee and commission expense</t>
  </si>
  <si>
    <t>Net fee and commission income</t>
  </si>
  <si>
    <t>Operating income from banking activities</t>
  </si>
  <si>
    <t>Income from leasing activities</t>
  </si>
  <si>
    <t xml:space="preserve">  Leasing revenue</t>
  </si>
  <si>
    <t xml:space="preserve">  Leasing cost of goods sold</t>
  </si>
  <si>
    <t>Gross profit from leasing activities</t>
  </si>
  <si>
    <t>Total group operating income</t>
  </si>
  <si>
    <t xml:space="preserve">  Net impairment loss on financial assets</t>
  </si>
  <si>
    <t xml:space="preserve">  Gain from bargain purchase (one-off, Asset Alliance acquisition)</t>
  </si>
  <si>
    <t xml:space="preserve">  Loss on sale of commercial property (one-off, King Street)</t>
  </si>
  <si>
    <t xml:space="preserve">  Other income</t>
  </si>
  <si>
    <t xml:space="preserve">  Operating expenses</t>
  </si>
  <si>
    <t>Profit / (loss) before tax</t>
  </si>
  <si>
    <t xml:space="preserve">  Income tax (expense) / credit</t>
  </si>
  <si>
    <t>Profit / (loss) after tax</t>
  </si>
  <si>
    <t xml:space="preserve">  Basic earnings per share (pence)</t>
  </si>
  <si>
    <t xml:space="preserve">  Ordinary dividend per share (pence)</t>
  </si>
  <si>
    <t xml:space="preserve">  Special dividend per share (pence)</t>
  </si>
  <si>
    <t>Arbuthnot Banking Group PLC (ARBB) — Consolidated Statement of Financial Position, GBP 000s</t>
  </si>
  <si>
    <t>Source: Consolidated Statement of Financial Position, Annual Report &amp; Accounts, each fiscal year (at 31 December). Group figures, not Company (parent-only).</t>
  </si>
  <si>
    <t>ASSETS</t>
  </si>
  <si>
    <t xml:space="preserve">  Cash and balances at central banks</t>
  </si>
  <si>
    <t xml:space="preserve">  Loans and advances to banks</t>
  </si>
  <si>
    <t xml:space="preserve">  Debt securities at amortised cost</t>
  </si>
  <si>
    <t xml:space="preserve">  Derivative financial instruments</t>
  </si>
  <si>
    <t xml:space="preserve">  Loans and advances to customers</t>
  </si>
  <si>
    <t xml:space="preserve">  Other assets (incl. held-for-sale, tax, financial investments)</t>
  </si>
  <si>
    <t xml:space="preserve">  Intangible assets</t>
  </si>
  <si>
    <t xml:space="preserve">  Property, plant and equipment</t>
  </si>
  <si>
    <t xml:space="preserve">  Right-of-use assets</t>
  </si>
  <si>
    <t xml:space="preserve">  Investment property</t>
  </si>
  <si>
    <t>Total assets</t>
  </si>
  <si>
    <t>EQUITY AND LIABILITIES</t>
  </si>
  <si>
    <t xml:space="preserve">  Share capital and share premium</t>
  </si>
  <si>
    <t xml:space="preserve">  Retained earnings</t>
  </si>
  <si>
    <t xml:space="preserve">  Other reserves</t>
  </si>
  <si>
    <t>Total equity</t>
  </si>
  <si>
    <t xml:space="preserve">  Deposits from banks</t>
  </si>
  <si>
    <t xml:space="preserve">  Deposits from customers</t>
  </si>
  <si>
    <t xml:space="preserve">  Lease liabilities</t>
  </si>
  <si>
    <t xml:space="preserve">  Debt securities in issue</t>
  </si>
  <si>
    <t xml:space="preserve">  Other liabilities (incl. tax, derivatives)</t>
  </si>
  <si>
    <t>Total liabilities</t>
  </si>
  <si>
    <t>Total equity and liabilities</t>
  </si>
  <si>
    <t>Check: Total assets = Total equity and liabilities?</t>
  </si>
  <si>
    <t>Arbuthnot Banking Group PLC (ARBB) — Consolidated Statement of Cash Flows, GBP 000s</t>
  </si>
  <si>
    <t>Source: Consolidated Statement of Cash Flows, Annual Report &amp; Accounts, each fiscal year. Group figures. Bank cash flow statements are dominated by deposit/loan movements rather than free cash flow in the industrial-company sense — see note below.</t>
  </si>
  <si>
    <t>Net cash inflow / (outflow) from operating activities</t>
  </si>
  <si>
    <t>Net cash inflow / (outflow) from investing activities</t>
  </si>
  <si>
    <t>Net cash (outflow) / inflow from financing activities</t>
  </si>
  <si>
    <t>Net (decrease) / increase in cash and cash equivalents</t>
  </si>
  <si>
    <t xml:space="preserve">  Cash and cash equivalents at 1 January</t>
  </si>
  <si>
    <t xml:space="preserve">  Cash and cash equivalents at 31 December</t>
  </si>
  <si>
    <t xml:space="preserve">  Memo: dividends paid (financing outflow, included above)</t>
  </si>
  <si>
    <t xml:space="preserve">  Memo: capex — property, plant &amp; equipment purchased</t>
  </si>
  <si>
    <t>Reading note: for a bank, "operating cash flow" is swamped by year-to-year swings in customer deposits and loans (both operating items under IFRS), not a measure of free cash generation. A large positive figure (e.g. FY2025) mainly reflects deposit inflows outrunning loan growth, not "profit turning into cash" as it would for an industrial company. Do not use this line as a DCF input.</t>
  </si>
  <si>
    <t>Arbuthnot Banking Group PLC (ARBB) — Bank-Specific KPI Trends, FY2020-FY2025</t>
  </si>
  <si>
    <t>These four KPIs are highlighted because they are the primary indicators of a relationship bank's health: CET1 (capital adequacy / loss-absorbing capacity), Net Interest Margin (core earnings power), Cost:Income (operating efficiency), Return on Average Equity (shareholder value creation). Source: Pillar 3 disclosures and company results presentations, each year — see Method notes.</t>
  </si>
  <si>
    <t>CET1 ratio (%) — capital adequacy</t>
  </si>
  <si>
    <t xml:space="preserve">  Total capital ratio (%)</t>
  </si>
  <si>
    <t xml:space="preserve">  Leverage ratio (%, excl. central bank claims)</t>
  </si>
  <si>
    <t xml:space="preserve">  Risk-weighted assets (RWA, GBPm)</t>
  </si>
  <si>
    <t>Net interest margin (%) — company-reported</t>
  </si>
  <si>
    <t>Total cost:income ratio (%) — company-reported</t>
  </si>
  <si>
    <t xml:space="preserve">    memo: calculated (FY20/21, opex / total group op. income)</t>
  </si>
  <si>
    <t>Return on average equity (%) — company-reported</t>
  </si>
  <si>
    <t xml:space="preserve">  Total assets (GBPm)</t>
  </si>
  <si>
    <t xml:space="preserve">  Customer loans and advances (GBPm)</t>
  </si>
  <si>
    <t xml:space="preserve">  Customer deposits (GBPm)</t>
  </si>
  <si>
    <t xml:space="preserve">  Loan-to-deposit ratio (%, calc.)</t>
  </si>
  <si>
    <t xml:space="preserve">  Cost of funding / deposits (%) — company-reported</t>
  </si>
  <si>
    <t>Net asset value per share (pence) — as reported that year</t>
  </si>
  <si>
    <t>Tangible NAV per share (pence, calc.)</t>
  </si>
  <si>
    <t>Trendline charts — the four headline KPIs</t>
  </si>
  <si>
    <t>Arbuthnot Banking Group PLC (ARBB) — Year-by-Year Sentiment and Management Quality Assessment</t>
  </si>
  <si>
    <t>Subjective scores assigned by the analyst (Claude) after reading each year's Chairman's Statement, Strategic Report and results presentation in chronological order, without reference to the share price. Sentiment: 0=bad, 10=extremely positive. Management quality: 0=fraud/convictions, 10=outstanding/management saved the day. These are judgment calls, not derived from any formula -- read the rationale column, not just the score.</t>
  </si>
  <si>
    <t>Year</t>
  </si>
  <si>
    <t>Sentiment
(0-10)</t>
  </si>
  <si>
    <t>Mgmt Quality
(0-10)</t>
  </si>
  <si>
    <t>Reported PBT (£m)</t>
  </si>
  <si>
    <t>Rationale</t>
  </si>
  <si>
    <t>COVID-19 pandemic year: reported a loss before tax of £1.1m (underlying profit £8.2m) as the BoE base rate cut to 0.1% cost an estimated £10.3m in revenue and lending was deliberately curtailed. FY2019 final dividend cancelled on PRA guidance (industry-wide, not company-specific). Sentiment held back by the headline loss and dividend suspension despite a genuinely difficult exogenous shock.
MGMT: No furlough used for any employee; extended £21m CBILs + £12m Bounce Back Loans to clients; deposits still grew 13% while funding costs fell; remote working handled without service disruption; and management used the crisis to negotiate the Asset Alliance acquisition (agreed Dec 2020) at what proved a highly favourable price. Decisive, opportunistic crisis management.</t>
  </si>
  <si>
    <t>Return to profit (£4.6m PBT) and dividend restored (38p ordinary + 21p special catch-up for the cancelled 2019 dividend). Deposits +20% to £2.8bn, AUM +18%. But £4.6m of the improvement was a one-off "bargain purchase" accounting gain on Asset Alliance, and the Group absorbed a £2.1m net charge from the industry-wide Arena TV equipment-leasing fraud (55 lenders affected, ARBB not the target of wrongdoing). Underlying trading was still fragile.
MGMT: Successfully completed and began integrating the Asset Alliance acquisition despite a global truck microchip shortage; transparent in separately disclosing the bargain-purchase gain and the fraud charge rather than burying them in "other income"; introduced Apple/Google Pay, continuing steady platform investment.</t>
  </si>
  <si>
    <t>Profit before tax more than tripled to £20.0m (ROAE 10.0%), deposits crossed £3bn, all four specialist lending divisions (Asset Alliance, RAF, ACABL) grew 40-48%. A £4.6m loss was taken on the deliberate sale of the King Street property ahead of a forecast commercial-property downturn.
MGMT: Chairman explicitly and candidly attributed most of the profit jump to the rising rate cycle rather than claiming it as skill, and flagged in the same breath that the Group's large BoE liquidity balance "has no natural hedge" and could reverse -- an unusually direct warning about the sustainability of the year's own good news. Paid a £1,500 cost-of-living bonus to all staff during the inflation spike.</t>
  </si>
  <si>
    <t>Peak year of the cycle: PBT £47.1m (+135%), ROAE 18.16%, deposits £3.8bn (+21%), Asset Alliance leasing book +73% including an 8%-share entry into London's TfL bus market, Wealth Management AUM +29% to £1.7bn. 190th anniversary; new head office secured at 20 Finsbury Circus.
MGMT: Pre-announced, a year in advance and in plain language, that deposit-cost catch-up would compress FY2024 margins even as FY2023 profit peaked -- a level of forward transparency about the coming reversal that most managements avoid volunteering at the top of a cycle. Continued deliberate business diversification (buses, wholesale financing) rather than simply riding the rate tailwind.</t>
  </si>
  <si>
    <t>Profit fell 25% to £35.1m and ROAE to 10.63%, exactly as flagged the year before: average cost of funds rose from 2.43% to 3.15% as fixed-rate deposits repriced. Still a "very creditable performance" per the Chairman -- deposits passed £4bn for the first time, Wealth Management AUM passed £2bn (+30%), and the new HQ opened with a visit from HRH The Princess Royal.
MGMT: The decline played out within the range management itself had predicted twelve months earlier -- high forecasting credibility. Continued to invest in the Wealth Management platform (process optimisation project) rather than cut back defensively during the margin squeeze.</t>
  </si>
  <si>
    <t>Profit fell again to £24.2m (ROAE 7.76%, NIM compressed to 4.7%), but this decline was substantially self-directed: lending balances were deliberately reduced by £183.2m and LTVs tightened below prior guidance, described explicitly as refusing to "compete on price alone." Deposits still grew 10.6% to £4.57bn and cost of funds fell as BoE cuts flowed through (3.15% to 2.65%), Wealth Management AUM +21% to £2.68bn.
MGMT: Proactively and specifically disclosed that the Group has no regulated motor-finance exposure and therefore sits outside the FCA's post-Supreme-Court compensation review -- addressing a sector-wide contingent-liability question before being asked, rather than staying silent. The deliberate volume sacrifice for return discipline is consistent messaging maintained across the full six-year window reviewed.</t>
  </si>
  <si>
    <t>H1 2026 (partial year, not scored — interim data point only)</t>
  </si>
  <si>
    <t>PBT £11.0m vs £10.9m H1 2025 — profit appears to be stabilising after two years of decline. £10bn total client-balance target ("Future State 2") reached more than two years ahead of the five-year plan. Net Promoter Score and staff satisfaction both improved. Interim dividend raised 2p to 24p. No new red flags identified.</t>
  </si>
  <si>
    <t>Recurring findings across the six-year window</t>
  </si>
  <si>
    <t>• Combined Chairman &amp; CEO role (Sir Henry Angest) throughout the entire period, with his son (Frederick Angest) also a Non-Executive Director. A governance concentration point under normal UK Corporate Governance Code expectations, though AIM-listed companies are not required to comply, and the same individual has led the strategy (the "Future State" plan referenced consistently from FY2020 to FY2026) with demonstrated consistency across a full rate cycle.</t>
  </si>
  <si>
    <t>• No qualified audit opinions and no material uncertainty / going concern paragraphs were found in any of the six audit reports reviewed (Mazars LLP, renamed Forvis Mazars LLP from FY2025 following its global merger -- same engagement team, not a change of auditor).</t>
  </si>
  <si>
    <t>• Reported profit before tax has been highly sensitive to the level of the Bank of England base rate throughout: -£1.1m (2020, rate 0.1%) -&gt; £47.1m peak (2023, rate 5.25%) -&gt; £24.2m (2025, rate falling). This is structural to the business model (a large low-cost deposit base invested partly in BoE reserves) and management has been consistent and candid about flagging it each year, which is itself a management-quality positive, but it means recent-year earnings should not be extrapolated directly into a valuation without adjustment.</t>
  </si>
  <si>
    <t>Arbuthnot Banking Group PLC (ARBB) — Value Range, Built Without Reference to the Current Share Price</t>
  </si>
  <si>
    <t>Method: Gordon-growth justified P/TNAV multiple (P/TNAV = (ROE-g)/(COE-g)), applied to FY2025 tangible net asset value per share. This is the standard bank-valuation approach -- generic EV/EBITDA or revenue multiples do not apply to a bank's balance sheet. Cross-checked against a normalised P/E approach below. All inputs are assumptions, clearly labelled; change the yellow cells to test sensitivity.</t>
  </si>
  <si>
    <t>Step 1 — Starting point: FY2025 tangible net asset value per share</t>
  </si>
  <si>
    <t>FY2025 Tangible NAV per share (pence)</t>
  </si>
  <si>
    <t xml:space="preserve">  memo: FY2025 statutory (non-tangible) NAV per share (pence)</t>
  </si>
  <si>
    <t>Step 2 — Assumptions (edit the yellow cells to test sensitivity)</t>
  </si>
  <si>
    <t>Assumption</t>
  </si>
  <si>
    <t>Low case</t>
  </si>
  <si>
    <t>Central case</t>
  </si>
  <si>
    <t>High case</t>
  </si>
  <si>
    <t>Basis</t>
  </si>
  <si>
    <t>Sustainable through-cycle ROE (%)</t>
  </si>
  <si>
    <t>Company-reported ROAE ranged 7.76%-18.16% over FY2022-25 (average ~11.6%), heavily inflated in FY2023 by the peak of the rate cycle. H1 2026 annualises to roughly 6%. Central case reflects the loan-book deleveraging trend continuing to weigh on ROE, offset by continued deposit and Wealth Management growth; low/high span the recent run-rate to a partial reversion toward the multi-year average.</t>
  </si>
  <si>
    <t>Cost of equity (%)</t>
  </si>
  <si>
    <t>A small (~£4.8bn balance sheet), AIM-listed, founder-controlled bank warrants a higher discount rate than a FTSE 100 bank given liquidity and single-family-control considerations, but Arbuthnot's capital and funding record over six years (including COVID) argues against the top of a typical small-bank range. 10.0-11.0% is a reasonable span; high case in the value range corresponds to the LOW cost of equity, and vice versa. Sanity-checked against 5 listed UK bank/specialist-lender peers -- see Peer Comparison section below for sourced current multiples.</t>
  </si>
  <si>
    <t>Long-run growth of tangible book (%)</t>
  </si>
  <si>
    <t>Roughly UK nominal GDP-linked, consistent with a mature private/commercial bank that is not chasing loan volume growth (per FY2025 commentary) but is growing its deposit and Wealth Management franchise.</t>
  </si>
  <si>
    <t>Step 3 — Justified P/TNAV multiple = (ROE - g) / (COE - g)</t>
  </si>
  <si>
    <t>Low</t>
  </si>
  <si>
    <t>Central</t>
  </si>
  <si>
    <t>High</t>
  </si>
  <si>
    <t>Justified P/TNAV (x)</t>
  </si>
  <si>
    <t>Step 4 — Value per share = Tangible NAV/share x Justified P/TNAV</t>
  </si>
  <si>
    <t>Value per share (pence)</t>
  </si>
  <si>
    <t>Value per share (GBP)</t>
  </si>
  <si>
    <t>Cross-check — normalised P/E approach</t>
  </si>
  <si>
    <t>FY2022-FY2025 basic EPS, simple average (pence)</t>
  </si>
  <si>
    <t xml:space="preserve">  memo: this average is pulled up by the FY2023 rate-cycle peak (222.8p); treat as an upper reference, not the central case</t>
  </si>
  <si>
    <t>Applied P/E multiple, low / central / high (x)</t>
  </si>
  <si>
    <t>5 comparable listed UK banks/specialist lenders currently trade at P/E of 5.3x-10.2x (average ~7.7x, median ~7.6x; see Peer Comparison section below for sourced figures, Aug 2026). Central case of 8.5x sits just above that peer average, consistent with ARBB's cleaner six-year credit/capital record.</t>
  </si>
  <si>
    <t>Cross-check value per share (pence)</t>
  </si>
  <si>
    <t>SUMMARY — value range, current price deliberately excluded from this analysis</t>
  </si>
  <si>
    <t>Value per share (GBP) — P/TNAV method (primary)</t>
  </si>
  <si>
    <t xml:space="preserve">  memo: cross-check value per share (GBP) — normalised P/E</t>
  </si>
  <si>
    <t>• This is a mechanical output of the stated assumptions, not a target price. Move the yellow cells and the range moves with them -- that is deliberate, so you can see exactly what each judgment call is worth.</t>
  </si>
  <si>
    <t>• Deliberately excludes the current share price throughout, per the brief. Compare this range to the market price yourself as a separate step.</t>
  </si>
  <si>
    <t>• Tangible NAV excludes goodwill and other intangibles (£33.4m at FY2025, mostly acquired software and smaller bolt-on goodwill) on the standard bank-analyst convention that intangibles are not loss-absorbing capital. If you regard the software intangibles as genuinely productive assets, the statutory (non-tangible) NAV/share shown in Step 1 is the more generous anchor.</t>
  </si>
  <si>
    <t>• The P/TNAV method is sensitive to the ROE assumption, and ARBB's ROE has ranged from 7.76% to 18.16% in just the last four years, driven mostly by the Bank of England base rate rather than by anything management controls. The central case of 8% assumes the recent deleveraging/lower-rate environment persists rather than a return to 2023-style conditions.</t>
  </si>
  <si>
    <t>• Not verified against any primary document beyond what was read in this session -- treat every figure as provisional until independently checked, per the project's standing rule that no number enters a decision without primary-source verification.</t>
  </si>
  <si>
    <t>• The peer comparison below is a sanity check on the ROE/COE/P-E assumptions, not a pricing mechanism -- no peer's business mix (funding model, product mix, ownership structure) maps exactly onto ARBB's combination of private bank, commercial bank, and specialist lending subsidiaries, and none of the peer figures have been cross-checked against a second independent source.</t>
  </si>
  <si>
    <t>PEER COMPARISON — sanity-checking the assumptions against 5 listed UK peers</t>
  </si>
  <si>
    <t>Why this section exists: P/TNAV = (ROE-g)/(COE-g) is the standard bank-valuation framework, but the specific ROE/COE numbers used above were originally set from ARBB's own six-year history and general priors about small-bank discount rates -- not checked against what comparable listed banks actually trade at. This section closes that gap with current market data (as of 28 Aug 2026) for 5 structurally similar UK banks/specialist lenders, each cited to a source. ARBB is deliberately excluded from this table -- the point is to check the assumptions against the market, not to price ARBB directly off peer multiples.</t>
  </si>
  <si>
    <t>Why these 5, specifically</t>
  </si>
  <si>
    <t>Close Brothers Group (CBG)</t>
  </si>
  <si>
    <t>Closest STRUCTURAL match of the five: a merchant bank combining relationship deposit-taking with specialist lending divisions (asset, motor, premium finance), the same basic architecture as ARBB's private bank + commercial bank + specialist subsidiaries. Included despite currently being a stressed comparable -- a GBP135m H1 FY26 motor-finance redress provision has depressed its statutory returns -- because that distortion is itself a useful reminder of why a through-cycle ROE assumption (not a single year's snapshot) is the right basis for valuing any bank, ARBB included.</t>
  </si>
  <si>
    <t>Secure Trust Bank (STB)</t>
  </si>
  <si>
    <t>Closest SCALE match: a similarly small (sub-GBP2bn), AIM-adjacent-sized UK specialist bank with a retail-deposit funding model, so its P/TNAV and P/E sit in a genuinely comparable liquidity and size bracket rather than being diluted by a much larger balance sheet.</t>
  </si>
  <si>
    <t>Paragon Banking Group (PAG)</t>
  </si>
  <si>
    <t>Closest LENDING-MIX match on the specialist-lending side: buy-to-let, structured/development finance, SME asset finance and motor finance, funded predominantly by retail deposits -- the same 'gather deposits cheaply, deploy across a diversified specialist lending book' model ARBB describes as its own strategy, just larger and Main Market listed rather than AIM.</t>
  </si>
  <si>
    <t>OSB Group (OSB)</t>
  </si>
  <si>
    <t>A second, larger specialist mortgage/SME lender on the same retail-deposit funding model as Paragon, included to avoid the ROE/multiple comparison resting on a single specialist-lender data point -- OSB's book is more mortgage-concentrated (buy-to-let/residential plus SME) than ARBB's more diversified lending mix, so it anchors one end of the comparable range rather than being a precise mix match.</t>
  </si>
  <si>
    <t>S&amp;U (SUS)</t>
  </si>
  <si>
    <t>Weakest FUNDING-MODEL match of the five (motor HP and property bridging, no deposit-taking, not a bank) but the single best GOVERNANCE match: family-controlled (the Coombs family, via Wiseheights Ltd, hold roughly 19.9%), which is structurally the closest thing on the London market to ARBB's own combined Chairman/CEO and majority-shareholder-controlled setup. Included specifically to sanity-check whether family/founder control carries a visible multiple discount or premium in the market, not for its lending mix.</t>
  </si>
  <si>
    <t>Peer (ticker)</t>
  </si>
  <si>
    <t>P/TNAV or P/B (x)</t>
  </si>
  <si>
    <t>P/E (x)</t>
  </si>
  <si>
    <t>ROE / ROTE (%)</t>
  </si>
  <si>
    <t>Business mix</t>
  </si>
  <si>
    <t>Data as of</t>
  </si>
  <si>
    <t>Merchant bank: asset/motor/premium finance banking + asset management (Winterflood sold 2026)</t>
  </si>
  <si>
    <t>H1 FY26 (31 Jan 2026)</t>
  </si>
  <si>
    <t>Retail finance (point-of-sale consumer lending) + commercial finance (real estate/asset/invoice), retail deposit funded</t>
  </si>
  <si>
    <t>H1 2026 (30 Jun 2026)</t>
  </si>
  <si>
    <t>Buy-to-let/residential mortgages + structured/development finance + SME asset finance + motor finance, retail deposit funded</t>
  </si>
  <si>
    <t>H1 FY26 (31 Mar 2026)</t>
  </si>
  <si>
    <t>Buy-to-let/residential + SME/commercial + asset finance mortgage lending (Kent Reliance, InterBay), deposit funded</t>
  </si>
  <si>
    <t>Non-prime motor HP finance (Advantage Finance) + property bridging (Aspen Bridging); family-controlled (Coombs family / Wiseheights Ltd, ~19.9%)</t>
  </si>
  <si>
    <t>FY to 5 Feb 2026</t>
  </si>
  <si>
    <t>Peer average (all 5)</t>
  </si>
  <si>
    <t>Peer median (all 5)</t>
  </si>
  <si>
    <t xml:space="preserve">  memo: peer average excl. CBG (redress-affected outlier)</t>
  </si>
  <si>
    <t>ARBB — assumption-implied multiples, central case (for comparison to the peer rows above)</t>
  </si>
  <si>
    <t xml:space="preserve">  Justified P/TNAV (from Step 3) / Applied P/E (from cross-check) / Sustainable ROE assumption (from Step 2)</t>
  </si>
  <si>
    <t>How this squares: ARBB's central-case justified P/TNAV of ~0.94x sits within the peer range of 0.47x-1.05x, above the all-5 average (~0.82x) and close to the median (~0.88x) -- and above the ex-CBG average of ~0.90x. That is a reasonable place for ARBB to sit given its cleaner six-year capital and funding record than CBG's (currently redress-affected) and OSB's mono-line mortgage concentration, though it implies ARBB should NOT trade materially above STB (0.72x) despite STB's much higher reported ROE (14.3% vs ARBB's 10% through-cycle central case) -- STB's premium return partly reflects a smaller, higher-margin consumer/commercial lending book rather than a relationship-deposit private-bank franchise, so the two are not a clean like-for-like on returns even if their multiples are comparable. The P/E cross-check range (7.0x-10.0x, central 8.5x) also brackets the peer average of ~7.7x/median ~7.6x sensibly, though CBG's and STB's peer P/E figures above are the least reliable of the five (see comments) so this should be read as directional support, not precision confirmation. Net effect: the peer check does not suggest the existing assumptions need to move -- it moves them from 'reasoned from priors' to 'consistent with 5 sourced current market data points', which is the actual gap this section closes.</t>
  </si>
  <si>
    <t>ASSUMPTIONS vs MARKET EXPECTATIONS — how each input was checked, and where judgment diverges</t>
  </si>
  <si>
    <t>The peer table above checks the ROE/COE assumptions against what comparable banks trade at. This section checks them a different way -- against macro rate consensus and analyst coverage, as of 28-29 Aug 2026 -- and is explicit about where the assumption is a reasoned judgment rather than something independently confirmed by a market data point.</t>
  </si>
  <si>
    <t>Where this diverges from a strict market read, and why</t>
  </si>
  <si>
    <t>Sustainable through-cycle ROE (8% / 10% / 12%)</t>
  </si>
  <si>
    <t>Two checks, not one. (1) Peer ROTE/ROAE currently range 6.3%-16.1% across the 5 comparables above (average ~12.0%, or ~13.5% excluding the redress-affected CBG outlier) -- the 10% central case sits inside that range, toward the lower-middle. (2) Macro: BoE base rate is 3.75% as of 30 Jul 2026 (down from the FY2023 peak of 5.25%, well above the FY2020 trough of 0.1% -- i.e. genuinely mid-cycle). A Reuters poll of 64 economists found ~87% expect the MPC to hold at 3.75% through end-2026; views diverge further out (ING sees cuts resuming in 2027, Oxford Economics sees a hold well into 2027). No consensus points to a return to 2023-style rate levels, which is the key assumption embedded in the 10% central case.</t>
  </si>
  <si>
    <t>No ARBB-specific analyst consensus exists to check this against directly -- confirmed via stockanalysis.com and Investing.com, both show no covering analysts, no price target, no EPS consensus for ARBB. (One apparent hit, a 'Maxim downgrades ARBB' headline, was checked and is about ARB IOT Group Ltd, an unrelated Singapore-listed company sharing the same ticker -- a ticker-collision false positive, not a real ARBB downgrade.) In the absence of any consensus to match or fade, the 10% central case is a reasoned judgment, deliberately held below the FY2022-25 average of ~11.6% because H1 2026 annualises to roughly 6%. If the deposit-repricing lag ARBB itself describes (fixed-term deposits reprice slower than loan yields) continues resolving in the bank's favour under a now-stable rate environment, 10% could prove conservative rather than aggressive -- that risk sits in the high case, not the central case.</t>
  </si>
  <si>
    <t>Cost of equity (11% / 10.5% / 10%)</t>
  </si>
  <si>
    <t>No independent, published cost-of-equity or beta figure exists for ARBB (illiquid AIM stock, no analyst coverage to derive an implied COE from a target price). As an indirect check, the peer group's current P/TNAV multiples, run back through the same (ROE-g)/(COE-g) formula using each peer's own disclosed ROE and a common ~2% growth assumption, imply peer-level COEs loosely clustered in the high-single-digit to low-double-digit range -- broadly consistent with, not tightly confirming, the 10.0-11.0% range used here.</t>
  </si>
  <si>
    <t>This is the least market-validated of the three assumptions, and that is stated plainly rather than dressed up as more rigorous than it is. The 10.0-11.0% range reflects general reasoning about small-cap/illiquidity and single-family-control premia for a ~GBP4.8bn AIM bank, not a market-observed number. The peer comparison above (Peer Comparison section) is the closest thing to independent grounding available.</t>
  </si>
  <si>
    <t>Long-run growth of tangible book (1.5% / 2.0% / 2.5%)</t>
  </si>
  <si>
    <t>Set at roughly UK nominal-GDP-linked levels, consistent with a mature bank not chasing loan-book growth (per FY2025 commentary, which explicitly describes deliberate deleveraging). Not independently checked against a specific market or consensus GDP forecast for this exercise.</t>
  </si>
  <si>
    <t>None -- this is the lowest-stakes of the three assumptions (a 1 percentage point change here moves the justified multiple by far less than an equivalent change in ROE or COE) and was not judged to warrant the same level of market-checking as the other two.</t>
  </si>
  <si>
    <t xml:space="preserve">  Sources: BoE base rate and Reuters economist poll via HomeOwners Alliance rate-forecast roundup (28 Aug 2026); ARBB analyst coverage checked via stockanalysis.com and Investing.com consensus-estimates pages (both showed no covering analysts as of 28 Aug 2026); ARB IOT Group Ltd identification via GuruFocus (confirms the ticker-collision false positive).</t>
  </si>
  <si>
    <t>Arbuthnot Banking Group PLC (ARBB) — Ownership &amp; Governance Structure</t>
  </si>
  <si>
    <t>Primary source: FY2025 Annual Report &amp; Accounts, Group Directors' Report (Beneficial Interests and Substantial Shareholders tables, both dated as at 3 March 2026) and Note 37 (share capital), Note 14 to the Notice of AGM (total voting rights, as at 25 March 2026). Secondary source (institutional breakdown only, undated, cross-checked and flagged where it disagrees with the primary source): MarketScreener. For small/thinly-covered companies, ownership concentration is often as important a risk factor as anything on the balance sheet -- this tab exists to make it explicit and to separate insiders from funds.</t>
  </si>
  <si>
    <t>A. Share capital &amp; voting rights structure</t>
  </si>
  <si>
    <t>Ordinary (voting) shares in issue</t>
  </si>
  <si>
    <t>31 Dec 2025</t>
  </si>
  <si>
    <t xml:space="preserve">  less: held in Treasury (no vote while held)</t>
  </si>
  <si>
    <t>31 Dec 2025, Note 37</t>
  </si>
  <si>
    <t>Total voting rights (TVR) -- the denominator for all Ordinary % figures below</t>
  </si>
  <si>
    <t>25 Mar 2026</t>
  </si>
  <si>
    <t>Ordinary Non-Voting shares in issue (no vote, same dividend rights)</t>
  </si>
  <si>
    <t xml:space="preserve">  less: held in Treasury (no rights while held)</t>
  </si>
  <si>
    <t>Non-Voting shares in public hands -- the denominator for all Non-Voting % figures below</t>
  </si>
  <si>
    <t>calc.</t>
  </si>
  <si>
    <t xml:space="preserve">  note: Note 37 discloses 390,274 Ordinary shares and 19,040 Ordinary Non-Voting shares held in Treasury (carried at ~GBP1,299k combined cost) -- held by the Company, not cancelled, and carrying no vote/right while held. Both denominators above are net of their respective Treasury holdings, which is what makes the calculated %s in Sections C-E tie back to the Company-reported %s.</t>
  </si>
  <si>
    <t>B. Board roster and independence classification, as at FY2025 Annual Report</t>
  </si>
  <si>
    <t>Name</t>
  </si>
  <si>
    <t>Role</t>
  </si>
  <si>
    <t>Classification</t>
  </si>
  <si>
    <t>Appointed</t>
  </si>
  <si>
    <t>Notes</t>
  </si>
  <si>
    <t>Sir Henry Angest</t>
  </si>
  <si>
    <t>Chairman and Chief Executive</t>
  </si>
  <si>
    <t>Executive; majority shareholder</t>
  </si>
  <si>
    <t>Dec 1985</t>
  </si>
  <si>
    <t>Combined Chairman/CEO role -- see Recurring Themes in the narrative document. Also President of Arbuthnot Latham &amp; Co., Limited.</t>
  </si>
  <si>
    <t>James Cobb FCA</t>
  </si>
  <si>
    <t>Group Finance Director</t>
  </si>
  <si>
    <t>Executive</t>
  </si>
  <si>
    <t>Nov 2008</t>
  </si>
  <si>
    <t>Also Finance Director and Deputy CEO of Arbuthnot Latham &amp; Co., Limited.</t>
  </si>
  <si>
    <t>Andrew Salmon FCA</t>
  </si>
  <si>
    <t>Chief Operating Officer</t>
  </si>
  <si>
    <t>Mar 2004</t>
  </si>
  <si>
    <t>Also CEO of Arbuthnot Latham &amp; Co., Limited.</t>
  </si>
  <si>
    <t>Frederick Angest</t>
  </si>
  <si>
    <t>Non-Executive Director</t>
  </si>
  <si>
    <t>Non-independent (Sir Henry Angest's son)</t>
  </si>
  <si>
    <t>Sep 2022</t>
  </si>
  <si>
    <t>Works as a Senior Banker within Arbuthnot Latham &amp; Co., Limited -- an executive role at the subsidiary alongside a non-exec seat at the parent. No personal shareholding shown in the FY2025 beneficial interests table.</t>
  </si>
  <si>
    <t>The Hon Sir Nigel Boardman</t>
  </si>
  <si>
    <t>Independent Non-Executive Director</t>
  </si>
  <si>
    <t>Independent</t>
  </si>
  <si>
    <t>Jun 2019</t>
  </si>
  <si>
    <t>Chairman of Arbuthnot Latham &amp; Co., Limited (the banking subsidiary).</t>
  </si>
  <si>
    <t>Jayne Almond</t>
  </si>
  <si>
    <t>Sep 2023</t>
  </si>
  <si>
    <t>Audit Committee member. Announced 21 Jul 2026 that she will step down effective 1 Sep 2026, citing other commitments -- no successor named in that notice.</t>
  </si>
  <si>
    <t>Angela Knight CBE</t>
  </si>
  <si>
    <t>Former Treasury Minister; former CEO of the British Bankers' Association.</t>
  </si>
  <si>
    <t>Lord Sassoon FCA</t>
  </si>
  <si>
    <t>Chairman of the Audit Committee.</t>
  </si>
  <si>
    <t>Richard Gabbertas FCA</t>
  </si>
  <si>
    <t>Jul 2024</t>
  </si>
  <si>
    <t>Chairman of the Board Risk Committee of Arbuthnot Latham &amp; Co., Limited.</t>
  </si>
  <si>
    <t>Charlotte Crosswell OBE</t>
  </si>
  <si>
    <t>Jul 2025</t>
  </si>
  <si>
    <t>Most recently appointed director.</t>
  </si>
  <si>
    <t xml:space="preserve">  Also: Nicholas Jennings FCA is Company Secretary (not a Board director). I.A. Dewar and Sir Alan Yarrow retired from the Board on 21 May 2025 and are not current directors.</t>
  </si>
  <si>
    <t xml:space="preserve">  Board composition: 3 executive (all also hold executive roles at the Arbuthnot Latham subsidiary), 1 non-independent non-executive (the Chairman's son), 6 independent non-executive -- a majority-independent board by head count, though independence of oversight is a separate question from the 58% economic and voting control held by the Chairman personally (Section D).</t>
  </si>
  <si>
    <t>C. Directors' beneficial interests in shares (FY2025 Annual Report, Group Directors' Report)</t>
  </si>
  <si>
    <t>Only directors with a nonzero holding are listed in the FY2025 Annual Report source table (reproduced below). Five of the ten current directors from Section B -- Frederick Angest, Charlotte Crosswell, Richard Gabbertas, Angela Knight, and Lord Sassoon -- do not appear in it, which the Annual Report presents as nil/no disclosed personal shareholding rather than an omission; this has not been independently confirmed beyond the Annual Report itself.</t>
  </si>
  <si>
    <t>Ordinary (voting) shares</t>
  </si>
  <si>
    <t>Director</t>
  </si>
  <si>
    <t>Shares (3 Mar 2026)</t>
  </si>
  <si>
    <t>% of TVR (calc.)</t>
  </si>
  <si>
    <t>% as reported by Company</t>
  </si>
  <si>
    <t>Sir Nigel Boardman</t>
  </si>
  <si>
    <t>Jayne Almond (JD Almond)</t>
  </si>
  <si>
    <t>James Cobb (JR Cobb)</t>
  </si>
  <si>
    <t>Andrew Salmon (AA Salmon)</t>
  </si>
  <si>
    <t>Total, directors (Ordinary)</t>
  </si>
  <si>
    <t>Ordinary Non-Voting shares</t>
  </si>
  <si>
    <t>% of Non-Voting class (calc.)</t>
  </si>
  <si>
    <t>Total, directors (Non-Voting)</t>
  </si>
  <si>
    <t>D. Substantial shareholders (non-director)</t>
  </si>
  <si>
    <t>D1. Company-disclosed (FY2025 Annual Report, as at 3 March 2026) -- the primary source for this section:</t>
  </si>
  <si>
    <t>Holder</t>
  </si>
  <si>
    <t>Ordinary shares</t>
  </si>
  <si>
    <t>% of TVR</t>
  </si>
  <si>
    <t>Liontrust Asset Management</t>
  </si>
  <si>
    <t>Slater Investments</t>
  </si>
  <si>
    <t>Total, company-disclosed substantial holders</t>
  </si>
  <si>
    <t>D2. Supplementary institutional breakdown (MarketScreener, undated as sourced -- SECONDARY, not company-filed) -- shown for colour on the wider institutional base, not relied on for the Section E totals below:</t>
  </si>
  <si>
    <t>Shares (undated)</t>
  </si>
  <si>
    <t>%</t>
  </si>
  <si>
    <t>Type</t>
  </si>
  <si>
    <t>Janus Henderson Investors UK</t>
  </si>
  <si>
    <t>Institutional fund manager</t>
  </si>
  <si>
    <t>Hargreaves Lansdown Fund Managers</t>
  </si>
  <si>
    <t>Institutional / platform fund</t>
  </si>
  <si>
    <t>HSBC Global Asset Management (UK)</t>
  </si>
  <si>
    <t>Chelverton Asset Management</t>
  </si>
  <si>
    <t>Institutional fund manager (UK small-cap specialist)</t>
  </si>
  <si>
    <t>IG Markets</t>
  </si>
  <si>
    <t>Likely CFD/spread-betting nominee aggregation, not a fundamental holder -- flagged, not counted as "smart money"</t>
  </si>
  <si>
    <t>Rathbones Investment Management</t>
  </si>
  <si>
    <t>Institutional / wealth manager</t>
  </si>
  <si>
    <t xml:space="preserve">  Caveat -- this secondary source disagrees with the primary source on two rows it overlaps with: it shows Sir Henry Angest at 9,692,185 shares (59.88%) vs 9,392,185 (58.0%) company-disclosed at 3 Mar 2026 -- a 300,000-share gap that could reflect purchases since March not yet in a fresh RNS, or could be a stale/different-dated snapshot; and Slater Investments at 1,119,026 shares (6.91%) vs 825,919 (5.1%) company-disclosed -- a larger, unresolved gap. Its Liontrust figure (1,375,156) matches the company-disclosed figure exactly, which is reassuring but doesn't resolve the other two discrepancies. Treat Section D1 as the reliable figure and D2 as indicative colour only -- a live TR-1/RNS search would be needed to settle which is more current.</t>
  </si>
  <si>
    <t>E. Ownership concentration summary (Ordinary/voting shares, based on Section D1 company-disclosed data)</t>
  </si>
  <si>
    <t>Shares</t>
  </si>
  <si>
    <t>Directors, in total (Section C)</t>
  </si>
  <si>
    <t xml:space="preserve">  of which: Sir Henry Angest alone</t>
  </si>
  <si>
    <t>Company-disclosed institutional holders (Section D1)</t>
  </si>
  <si>
    <t>Identified total (directors + disclosed institutions)</t>
  </si>
  <si>
    <t>Implied free float / unidentified holders (balance)</t>
  </si>
  <si>
    <t>F. Why this matters for governance, in plain terms</t>
  </si>
  <si>
    <t>• Sir Henry Angest personally controls a majority of the votes (58.0%) as well as being Chairman and Chief Executive. That is not just a titles-on-paper governance flag -- at 58%, he can pass any ordinary resolution unilaterally regardless of how every other shareholder votes, including the two named institutional holders combined (13.6%). Board independence by head count (6 of 10 directors) does not change this arithmetic.</t>
  </si>
  <si>
    <t>• Outside Sir Henry Angest, no other director holds an economically meaningful stake -- the next largest director holding (Andrew Salmon, COO) is 0.3% of voting shares. Board alignment with shareholders, beyond the Chairman himself, is symbolic rather than financially significant.</t>
  </si>
  <si>
    <t>• Frederick Angest (Sir Henry's son) sits on the Board as a non-independent non-executive director and holds an executive Senior Banker role at the operating subsidiary, but has no separately disclosed personal shareholding -- family influence runs through Sir Henry's stake directly, not through a separate, diversified family shareholding.</t>
  </si>
  <si>
    <t>• The two disclosed institutional holders (Liontrust 8.5%, Slater 5.1%) are long-established, well-known UK equity managers, not activist or event-driven funds -- their presence is a mild positive signal (informed capital has chosen to hold this name over a multi-year period) but they hold nowhere near enough, even combined, to contest a resolution the Chairman opposes.</t>
  </si>
  <si>
    <t>• A currently-vacant Audit Committee seat is coming: Jayne Almond's departure (effective 1 Sep 2026) was announced without a named successor. Worth checking whether a replacement has been announced by the time this is read.</t>
  </si>
  <si>
    <t>• None of this is a reason to avoid the name on its own -- founder/family control with a long, clean capital-management record (as documented in the narrative document) is a defensible governance model, not an automatic red flag. It does mean that any minority shareholder is, in practice, relying on Sir Henry Angest's continued good judgment and alignment of interest rather than on any check-and-balance the share register itself provides.</t>
  </si>
  <si>
    <t>Sources: FY2025 Annual Report &amp; Accounts (Group Directors' Report, Note 37, Notice of AGM Note 14); RNS "Directorate Change" 21 Jul 2026 (Jayne Almond departure) via Investegate; MarketScreener company-shareholders page (secondary, undated, discrepancies flagged above). Not independently verified beyond these two sources -- a live Companies House PSC search and a fresh TR-1 search were not performed for this 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</si>
</sst>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
    <numFmt numFmtId="165" formatCode="0.0"/>
    <numFmt numFmtId="166" formatCode="0.0%"/>
    <numFmt numFmtId="167" formatCode="#,##0.0"/>
    <numFmt numFmtId="168" formatCode="#,##0.0;\(#,##0.0\)"/>
    <numFmt numFmtId="169" formatCode="0.00\x"/>
    <numFmt numFmtId="170" formatCode="\£#,##0.00"/>
    <numFmt numFmtId="171" formatCode="0.0\x"/>
    <numFmt numFmtId="172" formatCode="0.0%;;&quot;&lt;0.05%&quot;"/>
  </numFmts>
  <fonts count="25" x14ac:knownFonts="1">
    <font>
      <sz val="11"/>
      <color theme="1"/>
      <name val="Calibri"/>
      <family val="2"/>
      <charset val="1"/>
    </font>
    <font>
      <b/>
      <sz val="12"/>
      <color rgb="FF1F3864"/>
      <name val="Arial"/>
      <charset val="1"/>
    </font>
    <font>
      <i/>
      <sz val="8"/>
      <color rgb="FF808080"/>
      <name val="Arial"/>
      <charset val="1"/>
    </font>
    <font>
      <sz val="9"/>
      <name val="Arial"/>
      <charset val="1"/>
    </font>
    <font>
      <b/>
      <sz val="10"/>
      <color rgb="FFFFFFFF"/>
      <name val="Arial"/>
      <charset val="1"/>
    </font>
    <font>
      <b/>
      <sz val="9"/>
      <color rgb="FF1F3864"/>
      <name val="Arial"/>
      <charset val="1"/>
    </font>
    <font>
      <b/>
      <sz val="9"/>
      <name val="Arial"/>
      <charset val="1"/>
    </font>
    <font>
      <sz val="10"/>
      <name val="Arial"/>
      <family val="2"/>
    </font>
    <font>
      <i/>
      <sz val="9"/>
      <name val="Arial"/>
      <charset val="1"/>
    </font>
    <font>
      <i/>
      <sz val="8"/>
      <color rgb="FFC00000"/>
      <name val="Arial"/>
      <charset val="1"/>
    </font>
    <font>
      <b/>
      <sz val="11"/>
      <color rgb="FF1F3864"/>
      <name val="Arial"/>
      <charset val="1"/>
    </font>
    <font>
      <b/>
      <sz val="13"/>
      <name val="Arial"/>
      <charset val="1"/>
    </font>
    <font>
      <sz val="8.5"/>
      <name val="Arial"/>
      <charset val="1"/>
    </font>
    <font>
      <b/>
      <i/>
      <sz val="9"/>
      <color rgb="FF1F3864"/>
      <name val="Arial"/>
      <charset val="1"/>
    </font>
    <font>
      <i/>
      <sz val="8.5"/>
      <name val="Arial"/>
      <charset val="1"/>
    </font>
    <font>
      <b/>
      <sz val="10"/>
      <color rgb="FF1F3864"/>
      <name val="Arial"/>
      <charset val="1"/>
    </font>
    <font>
      <i/>
      <sz val="8.5"/>
      <color rgb="FF808080"/>
      <name val="Arial"/>
      <charset val="1"/>
    </font>
    <font>
      <i/>
      <sz val="8"/>
      <name val="Arial"/>
      <charset val="1"/>
    </font>
    <font>
      <sz val="8"/>
      <name val="Arial"/>
      <charset val="1"/>
    </font>
    <font>
      <b/>
      <sz val="10"/>
      <name val="Arial"/>
      <charset val="1"/>
    </font>
    <font>
      <b/>
      <sz val="11"/>
      <name val="Arial"/>
      <charset val="1"/>
    </font>
    <font>
      <b/>
      <sz val="13"/>
      <color rgb="FF1F3864"/>
      <name val="Arial"/>
      <charset val="1"/>
    </font>
    <font>
      <sz val="8.5"/>
      <color rgb="FFC00000"/>
      <name val="Arial"/>
      <charset val="1"/>
    </font>
    <font>
      <sz val="8.5"/>
      <color rgb="FF000000"/>
      <name val="Arial"/>
      <charset val="1"/>
    </font>
    <font>
      <b/>
      <sz val="8.5"/>
      <color rgb="FFC00000"/>
      <name val="Arial"/>
      <charset val="1"/>
    </font>
  </fonts>
  <fills count="6">
    <fill>
      <patternFill patternType="none"/>
    </fill>
    <fill>
      <patternFill patternType="gray125"/>
    </fill>
    <fill>
      <patternFill patternType="solid">
        <fgColor rgb="FF1F3864"/>
        <bgColor rgb="FF333333"/>
      </patternFill>
    </fill>
    <fill>
      <patternFill patternType="solid">
        <fgColor rgb="FFFCE4D6"/>
        <bgColor rgb="FFD9D9D9"/>
      </patternFill>
    </fill>
    <fill>
      <patternFill patternType="solid">
        <fgColor rgb="FFD9E2F3"/>
        <bgColor rgb="FFD9D9D9"/>
      </patternFill>
    </fill>
    <fill>
      <patternFill patternType="solid">
        <fgColor rgb="FFFFFF99"/>
        <bgColor rgb="FFFCE4D6"/>
      </patternFill>
    </fill>
  </fills>
  <borders count="2">
    <border>
      <left/>
      <right/>
      <top/>
      <bottom/>
      <diagonal/>
    </border>
    <border>
      <left/>
      <right/>
      <top/>
      <bottom style="thin">
        <color rgb="FFBFBFBF"/>
      </bottom>
      <diagonal/>
    </border>
  </borders>
  <cellStyleXfs count="1">
    <xf numFmtId="0" fontId="0" fillId="0" borderId="0"/>
  </cellStyleXfs>
  <cellXfs count="83">
    <xf numFmtId="0" fontId="0" fillId="0" borderId="0" xfId="0"/>
    <xf numFmtId="0" fontId="18" fillId="0" borderId="0" xfId="0" applyFont="1" applyAlignment="1">
      <alignment vertical="top" wrapText="1"/>
    </xf>
    <xf numFmtId="0" fontId="14" fillId="0" borderId="0" xfId="0" applyFont="1" applyAlignment="1">
      <alignment vertical="top" wrapText="1"/>
    </xf>
    <xf numFmtId="0" fontId="5" fillId="0" borderId="0" xfId="0" applyFont="1" applyAlignment="1">
      <alignment vertical="top" wrapText="1"/>
    </xf>
    <xf numFmtId="0" fontId="0" fillId="0" borderId="0" xfId="0"/>
    <xf numFmtId="0" fontId="4" fillId="2" borderId="0" xfId="0" applyFont="1" applyFill="1" applyAlignment="1">
      <alignment horizontal="center" wrapText="1"/>
    </xf>
    <xf numFmtId="0" fontId="12" fillId="0" borderId="0" xfId="0" applyFont="1" applyAlignment="1">
      <alignment vertical="top" wrapText="1"/>
    </xf>
    <xf numFmtId="0" fontId="5" fillId="0" borderId="0" xfId="0" applyFont="1"/>
    <xf numFmtId="0" fontId="1" fillId="0" borderId="0" xfId="0" applyFont="1"/>
    <xf numFmtId="0" fontId="15" fillId="4" borderId="0" xfId="0" applyFont="1" applyFill="1"/>
    <xf numFmtId="0" fontId="16" fillId="0" borderId="0" xfId="0" applyFont="1"/>
    <xf numFmtId="0" fontId="12" fillId="0" borderId="0" xfId="0" applyFont="1"/>
    <xf numFmtId="0" fontId="14" fillId="0" borderId="0" xfId="0" applyFont="1"/>
    <xf numFmtId="0" fontId="2" fillId="0" borderId="0" xfId="0" applyFont="1"/>
    <xf numFmtId="0" fontId="9" fillId="0" borderId="0" xfId="0" applyFont="1"/>
    <xf numFmtId="0" fontId="1" fillId="0" borderId="0" xfId="0" applyFont="1"/>
    <xf numFmtId="0" fontId="2" fillId="0" borderId="0" xfId="0" applyFont="1"/>
    <xf numFmtId="0" fontId="3" fillId="0" borderId="0" xfId="0" applyFont="1"/>
    <xf numFmtId="0" fontId="4" fillId="2" borderId="0" xfId="0" applyFont="1" applyFill="1" applyAlignment="1">
      <alignment horizontal="center"/>
    </xf>
    <xf numFmtId="0" fontId="5" fillId="0" borderId="0" xfId="0" applyFont="1"/>
    <xf numFmtId="164" fontId="3" fillId="0" borderId="1" xfId="0" applyNumberFormat="1" applyFont="1" applyBorder="1"/>
    <xf numFmtId="0" fontId="6" fillId="0" borderId="0" xfId="0" applyFont="1"/>
    <xf numFmtId="164" fontId="0" fillId="0" borderId="0" xfId="0" applyNumberFormat="1"/>
    <xf numFmtId="0" fontId="3" fillId="3" borderId="0" xfId="0" applyFont="1" applyFill="1"/>
    <xf numFmtId="165" fontId="3" fillId="0" borderId="1" xfId="0" applyNumberFormat="1" applyFont="1" applyBorder="1"/>
    <xf numFmtId="0" fontId="8" fillId="0" borderId="0" xfId="0" applyFont="1"/>
    <xf numFmtId="164" fontId="6" fillId="3" borderId="1" xfId="0" applyNumberFormat="1" applyFont="1" applyFill="1" applyBorder="1"/>
    <xf numFmtId="164" fontId="6" fillId="0" borderId="1" xfId="0" applyNumberFormat="1" applyFont="1" applyBorder="1"/>
    <xf numFmtId="166" fontId="6" fillId="0" borderId="1" xfId="0" applyNumberFormat="1" applyFont="1" applyBorder="1"/>
    <xf numFmtId="166" fontId="3" fillId="0" borderId="1" xfId="0" applyNumberFormat="1" applyFont="1" applyBorder="1"/>
    <xf numFmtId="167" fontId="3" fillId="0" borderId="1" xfId="0" applyNumberFormat="1" applyFont="1" applyBorder="1"/>
    <xf numFmtId="166" fontId="0" fillId="0" borderId="0" xfId="0" applyNumberFormat="1"/>
    <xf numFmtId="167" fontId="6" fillId="0" borderId="1" xfId="0" applyNumberFormat="1" applyFont="1" applyBorder="1"/>
    <xf numFmtId="167" fontId="0" fillId="0" borderId="0" xfId="0" applyNumberFormat="1"/>
    <xf numFmtId="0" fontId="10" fillId="0" borderId="0" xfId="0" applyFont="1"/>
    <xf numFmtId="0" fontId="4" fillId="2" borderId="0" xfId="0" applyFont="1" applyFill="1" applyAlignment="1">
      <alignment horizontal="center" vertical="center" wrapText="1"/>
    </xf>
    <xf numFmtId="0" fontId="6" fillId="0" borderId="1" xfId="0" applyFont="1" applyBorder="1"/>
    <xf numFmtId="0" fontId="11" fillId="0" borderId="1" xfId="0" applyFont="1" applyBorder="1" applyAlignment="1">
      <alignment horizontal="center"/>
    </xf>
    <xf numFmtId="168" fontId="3" fillId="0" borderId="1" xfId="0" applyNumberFormat="1" applyFont="1" applyBorder="1" applyAlignment="1">
      <alignment horizontal="center"/>
    </xf>
    <xf numFmtId="0" fontId="12" fillId="0" borderId="1" xfId="0" applyFont="1" applyBorder="1" applyAlignment="1">
      <alignment vertical="top" wrapText="1"/>
    </xf>
    <xf numFmtId="0" fontId="13" fillId="0" borderId="0" xfId="0" applyFont="1"/>
    <xf numFmtId="0" fontId="14" fillId="0" borderId="0" xfId="0" applyFont="1"/>
    <xf numFmtId="0" fontId="15" fillId="0" borderId="0" xfId="0" applyFont="1"/>
    <xf numFmtId="0" fontId="12" fillId="0" borderId="0" xfId="0" applyFont="1"/>
    <xf numFmtId="3" fontId="6" fillId="0" borderId="0" xfId="0" applyNumberFormat="1" applyFont="1"/>
    <xf numFmtId="0" fontId="17" fillId="0" borderId="0" xfId="0" applyFont="1"/>
    <xf numFmtId="3" fontId="17" fillId="0" borderId="0" xfId="0" applyNumberFormat="1" applyFont="1"/>
    <xf numFmtId="0" fontId="4" fillId="2" borderId="0" xfId="0" applyFont="1" applyFill="1" applyAlignment="1">
      <alignment horizontal="center" wrapText="1"/>
    </xf>
    <xf numFmtId="166" fontId="3" fillId="5" borderId="0" xfId="0" applyNumberFormat="1" applyFont="1" applyFill="1"/>
    <xf numFmtId="0" fontId="18" fillId="0" borderId="0" xfId="0" applyFont="1" applyAlignment="1">
      <alignment vertical="top" wrapText="1"/>
    </xf>
    <xf numFmtId="169" fontId="19" fillId="0" borderId="0" xfId="0" applyNumberFormat="1" applyFont="1"/>
    <xf numFmtId="0" fontId="20" fillId="0" borderId="0" xfId="0" applyFont="1"/>
    <xf numFmtId="3" fontId="21" fillId="0" borderId="0" xfId="0" applyNumberFormat="1" applyFont="1"/>
    <xf numFmtId="170" fontId="8" fillId="0" borderId="0" xfId="0" applyNumberFormat="1" applyFont="1"/>
    <xf numFmtId="171" fontId="3" fillId="5" borderId="0" xfId="0" applyNumberFormat="1" applyFont="1" applyFill="1"/>
    <xf numFmtId="0" fontId="18" fillId="0" borderId="0" xfId="0" applyFont="1" applyAlignment="1">
      <alignment wrapText="1"/>
    </xf>
    <xf numFmtId="3" fontId="19" fillId="0" borderId="0" xfId="0" applyNumberFormat="1" applyFont="1"/>
    <xf numFmtId="0" fontId="19" fillId="0" borderId="0" xfId="0" applyFont="1"/>
    <xf numFmtId="170" fontId="21" fillId="4" borderId="0" xfId="0" applyNumberFormat="1" applyFont="1" applyFill="1"/>
    <xf numFmtId="169" fontId="3" fillId="0" borderId="0" xfId="0" applyNumberFormat="1" applyFont="1"/>
    <xf numFmtId="171" fontId="3" fillId="0" borderId="0" xfId="0" applyNumberFormat="1" applyFont="1"/>
    <xf numFmtId="166" fontId="3" fillId="0" borderId="0" xfId="0" applyNumberFormat="1" applyFont="1"/>
    <xf numFmtId="0" fontId="17" fillId="0" borderId="0" xfId="0" applyFont="1" applyAlignment="1">
      <alignment vertical="top" wrapText="1"/>
    </xf>
    <xf numFmtId="169" fontId="6" fillId="0" borderId="0" xfId="0" applyNumberFormat="1" applyFont="1"/>
    <xf numFmtId="171" fontId="6" fillId="0" borderId="0" xfId="0" applyNumberFormat="1" applyFont="1"/>
    <xf numFmtId="166" fontId="6" fillId="0" borderId="0" xfId="0" applyNumberFormat="1" applyFont="1"/>
    <xf numFmtId="169" fontId="14" fillId="0" borderId="0" xfId="0" applyNumberFormat="1" applyFont="1"/>
    <xf numFmtId="171" fontId="14" fillId="0" borderId="0" xfId="0" applyNumberFormat="1" applyFont="1"/>
    <xf numFmtId="166" fontId="14" fillId="0" borderId="0" xfId="0" applyNumberFormat="1" applyFont="1"/>
    <xf numFmtId="169" fontId="5" fillId="0" borderId="0" xfId="0" applyNumberFormat="1" applyFont="1"/>
    <xf numFmtId="171" fontId="5" fillId="0" borderId="0" xfId="0" applyNumberFormat="1" applyFont="1"/>
    <xf numFmtId="166" fontId="5" fillId="0" borderId="0" xfId="0" applyNumberFormat="1" applyFont="1"/>
    <xf numFmtId="3" fontId="3" fillId="0" borderId="0" xfId="0" applyNumberFormat="1" applyFont="1"/>
    <xf numFmtId="0" fontId="22" fillId="0" borderId="0" xfId="0" applyFont="1"/>
    <xf numFmtId="0" fontId="23" fillId="0" borderId="0" xfId="0" applyFont="1"/>
    <xf numFmtId="172" fontId="14" fillId="0" borderId="0" xfId="0" applyNumberFormat="1" applyFont="1"/>
    <xf numFmtId="3" fontId="12" fillId="0" borderId="0" xfId="0" applyNumberFormat="1" applyFont="1"/>
    <xf numFmtId="10" fontId="12" fillId="0" borderId="0" xfId="0" applyNumberFormat="1" applyFont="1"/>
    <xf numFmtId="3" fontId="14" fillId="0" borderId="0" xfId="0" applyNumberFormat="1" applyFont="1"/>
    <xf numFmtId="3" fontId="8" fillId="0" borderId="0" xfId="0" applyNumberFormat="1" applyFont="1"/>
    <xf numFmtId="166" fontId="8" fillId="0" borderId="0" xfId="0" applyNumberFormat="1" applyFont="1"/>
    <xf numFmtId="0" fontId="24" fillId="0" borderId="0" xfId="0" applyFont="1"/>
    <xf numFmtId="0" fontId="17" fillId="0" borderId="0" xfId="0" applyFont="1" applyAlignment="1">
      <alignment wrapText="1"/>
    </xf>
  </cellXfs>
  <cellStyles count="1">
    <cellStyle name="Normal" xfId="0" builtinId="0"/>
  </cellStyles>
  <dxfs count="0"/>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BE4B48"/>
      <rgbColor rgb="FFFCE4D6"/>
      <rgbColor rgb="FFD9E2F3"/>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4A7EBB"/>
      <rgbColor rgb="FF46AAC4"/>
      <rgbColor rgb="FF98B855"/>
      <rgbColor rgb="FFFFCC00"/>
      <rgbColor rgb="FFF59240"/>
      <rgbColor rgb="FFFF6600"/>
      <rgbColor rgb="FF7D5FA0"/>
      <rgbColor rgb="FF878787"/>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rot="0"/>
          <a:lstStyle/>
          <a:p>
            <a:pPr>
              <a:defRPr sz="1800" b="1" strike="noStrike" spc="-1">
                <a:solidFill>
                  <a:srgbClr val="000000"/>
                </a:solidFill>
                <a:latin typeface="Calibri"/>
              </a:defRPr>
            </a:pPr>
            <a:r>
              <a:rPr lang="en-GB" sz="1800" b="1" strike="noStrike" spc="-1">
                <a:solidFill>
                  <a:srgbClr val="000000"/>
                </a:solidFill>
                <a:latin typeface="Calibri"/>
              </a:rPr>
              <a:t>CET1 ratio (%)</a:t>
            </a:r>
          </a:p>
        </c:rich>
      </c:tx>
      <c:overlay val="0"/>
      <c:spPr>
        <a:noFill/>
        <a:ln w="0">
          <a:noFill/>
        </a:ln>
      </c:spPr>
    </c:title>
    <c:autoTitleDeleted val="0"/>
    <c:plotArea>
      <c:layout/>
      <c:lineChart>
        <c:grouping val="standard"/>
        <c:varyColors val="0"/>
        <c:ser>
          <c:idx val="0"/>
          <c:order val="0"/>
          <c:spPr>
            <a:ln w="21960">
              <a:solidFill>
                <a:srgbClr val="4A7EBB"/>
              </a:solidFill>
              <a:round/>
            </a:ln>
          </c:spPr>
          <c:marker>
            <c:symbol val="circle"/>
            <c:size val="5"/>
            <c:spPr>
              <a:solidFill>
                <a:srgbClr val="4A7EBB"/>
              </a:solidFill>
            </c:spPr>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KPIs'!$B$5</c:f>
              <c:numCache>
                <c:formatCode>0.0%</c:formatCode>
                <c:ptCount val="1"/>
                <c:pt idx="0">
                  <c:v>0.154</c:v>
                </c:pt>
              </c:numCache>
            </c:numRef>
          </c:val>
          <c:smooth val="1"/>
          <c:extLst>
            <c:ext xmlns:c16="http://schemas.microsoft.com/office/drawing/2014/chart" uri="{C3380CC4-5D6E-409C-BE32-E72D297353CC}">
              <c16:uniqueId val="{00000000-6F29-421F-9E83-22B16A79D7DF}"/>
            </c:ext>
          </c:extLst>
        </c:ser>
        <c:ser>
          <c:idx val="1"/>
          <c:order val="1"/>
          <c:spPr>
            <a:ln w="28440">
              <a:solidFill>
                <a:srgbClr val="BE4B48"/>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KPIs'!$C$5</c:f>
              <c:numCache>
                <c:formatCode>0.0%</c:formatCode>
                <c:ptCount val="1"/>
                <c:pt idx="0">
                  <c:v>0.123</c:v>
                </c:pt>
              </c:numCache>
            </c:numRef>
          </c:val>
          <c:smooth val="1"/>
          <c:extLst>
            <c:ext xmlns:c16="http://schemas.microsoft.com/office/drawing/2014/chart" uri="{C3380CC4-5D6E-409C-BE32-E72D297353CC}">
              <c16:uniqueId val="{00000001-6F29-421F-9E83-22B16A79D7DF}"/>
            </c:ext>
          </c:extLst>
        </c:ser>
        <c:ser>
          <c:idx val="2"/>
          <c:order val="2"/>
          <c:spPr>
            <a:ln w="28440">
              <a:solidFill>
                <a:srgbClr val="98B855"/>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KPIs'!$D$5</c:f>
              <c:numCache>
                <c:formatCode>0.0%</c:formatCode>
                <c:ptCount val="1"/>
                <c:pt idx="0">
                  <c:v>0.1157</c:v>
                </c:pt>
              </c:numCache>
            </c:numRef>
          </c:val>
          <c:smooth val="1"/>
          <c:extLst>
            <c:ext xmlns:c16="http://schemas.microsoft.com/office/drawing/2014/chart" uri="{C3380CC4-5D6E-409C-BE32-E72D297353CC}">
              <c16:uniqueId val="{00000002-6F29-421F-9E83-22B16A79D7DF}"/>
            </c:ext>
          </c:extLst>
        </c:ser>
        <c:ser>
          <c:idx val="3"/>
          <c:order val="3"/>
          <c:spPr>
            <a:ln w="28440">
              <a:solidFill>
                <a:srgbClr val="7D5FA0"/>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KPIs'!$E$5</c:f>
              <c:numCache>
                <c:formatCode>0.0%</c:formatCode>
                <c:ptCount val="1"/>
                <c:pt idx="0">
                  <c:v>0.1298</c:v>
                </c:pt>
              </c:numCache>
            </c:numRef>
          </c:val>
          <c:smooth val="1"/>
          <c:extLst>
            <c:ext xmlns:c16="http://schemas.microsoft.com/office/drawing/2014/chart" uri="{C3380CC4-5D6E-409C-BE32-E72D297353CC}">
              <c16:uniqueId val="{00000003-6F29-421F-9E83-22B16A79D7DF}"/>
            </c:ext>
          </c:extLst>
        </c:ser>
        <c:ser>
          <c:idx val="4"/>
          <c:order val="4"/>
          <c:spPr>
            <a:ln w="28440">
              <a:solidFill>
                <a:srgbClr val="46AAC4"/>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KPIs'!$F$5</c:f>
              <c:numCache>
                <c:formatCode>0.0%</c:formatCode>
                <c:ptCount val="1"/>
                <c:pt idx="0">
                  <c:v>0.13150000000000001</c:v>
                </c:pt>
              </c:numCache>
            </c:numRef>
          </c:val>
          <c:smooth val="1"/>
          <c:extLst>
            <c:ext xmlns:c16="http://schemas.microsoft.com/office/drawing/2014/chart" uri="{C3380CC4-5D6E-409C-BE32-E72D297353CC}">
              <c16:uniqueId val="{00000004-6F29-421F-9E83-22B16A79D7DF}"/>
            </c:ext>
          </c:extLst>
        </c:ser>
        <c:ser>
          <c:idx val="5"/>
          <c:order val="5"/>
          <c:spPr>
            <a:ln w="28440">
              <a:solidFill>
                <a:srgbClr val="F59240"/>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KPIs'!$G$5</c:f>
              <c:numCache>
                <c:formatCode>0.0%</c:formatCode>
                <c:ptCount val="1"/>
                <c:pt idx="0">
                  <c:v>0.1326</c:v>
                </c:pt>
              </c:numCache>
            </c:numRef>
          </c:val>
          <c:smooth val="1"/>
          <c:extLst>
            <c:ext xmlns:c16="http://schemas.microsoft.com/office/drawing/2014/chart" uri="{C3380CC4-5D6E-409C-BE32-E72D297353CC}">
              <c16:uniqueId val="{00000005-6F29-421F-9E83-22B16A79D7DF}"/>
            </c:ext>
          </c:extLst>
        </c:ser>
        <c:dLbls>
          <c:showLegendKey val="0"/>
          <c:showVal val="0"/>
          <c:showCatName val="0"/>
          <c:showSerName val="0"/>
          <c:showPercent val="0"/>
          <c:showBubbleSize val="0"/>
        </c:dLbls>
        <c:hiLowLines>
          <c:spPr>
            <a:ln w="0">
              <a:noFill/>
            </a:ln>
          </c:spPr>
        </c:hiLowLines>
        <c:marker val="1"/>
        <c:smooth val="0"/>
        <c:axId val="89341867"/>
        <c:axId val="94328356"/>
      </c:lineChart>
      <c:catAx>
        <c:axId val="89341867"/>
        <c:scaling>
          <c:orientation val="minMax"/>
        </c:scaling>
        <c:delete val="0"/>
        <c:axPos val="b"/>
        <c:numFmt formatCode="General"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CH"/>
          </a:p>
        </c:txPr>
        <c:crossAx val="94328356"/>
        <c:crosses val="autoZero"/>
        <c:auto val="1"/>
        <c:lblAlgn val="ctr"/>
        <c:lblOffset val="100"/>
        <c:noMultiLvlLbl val="0"/>
      </c:catAx>
      <c:valAx>
        <c:axId val="94328356"/>
        <c:scaling>
          <c:orientation val="minMax"/>
          <c:max val="0.18"/>
          <c:min val="0.08"/>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CH"/>
          </a:p>
        </c:txPr>
        <c:crossAx val="89341867"/>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rot="0"/>
          <a:lstStyle/>
          <a:p>
            <a:pPr>
              <a:defRPr sz="1800" b="1" strike="noStrike" spc="-1">
                <a:solidFill>
                  <a:srgbClr val="000000"/>
                </a:solidFill>
                <a:latin typeface="Calibri"/>
              </a:defRPr>
            </a:pPr>
            <a:r>
              <a:rPr lang="en-GB" sz="1800" b="1" strike="noStrike" spc="-1">
                <a:solidFill>
                  <a:srgbClr val="000000"/>
                </a:solidFill>
                <a:latin typeface="Calibri"/>
              </a:rPr>
              <a:t>Net interest margin (%)</a:t>
            </a:r>
          </a:p>
        </c:rich>
      </c:tx>
      <c:overlay val="0"/>
      <c:spPr>
        <a:noFill/>
        <a:ln w="0">
          <a:noFill/>
        </a:ln>
      </c:spPr>
    </c:title>
    <c:autoTitleDeleted val="0"/>
    <c:plotArea>
      <c:layout/>
      <c:lineChart>
        <c:grouping val="standard"/>
        <c:varyColors val="0"/>
        <c:ser>
          <c:idx val="0"/>
          <c:order val="0"/>
          <c:spPr>
            <a:ln w="21960">
              <a:solidFill>
                <a:srgbClr val="4A7EBB"/>
              </a:solidFill>
              <a:round/>
            </a:ln>
          </c:spPr>
          <c:marker>
            <c:symbol val="circle"/>
            <c:size val="5"/>
            <c:spPr>
              <a:solidFill>
                <a:srgbClr val="4A7EBB"/>
              </a:solidFill>
            </c:spPr>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KPIs'!$B$10</c:f>
              <c:numCache>
                <c:formatCode>0.0%</c:formatCode>
                <c:ptCount val="1"/>
              </c:numCache>
            </c:numRef>
          </c:val>
          <c:smooth val="1"/>
          <c:extLst>
            <c:ext xmlns:c16="http://schemas.microsoft.com/office/drawing/2014/chart" uri="{C3380CC4-5D6E-409C-BE32-E72D297353CC}">
              <c16:uniqueId val="{00000000-4E88-438E-91A2-CFDA6AA08577}"/>
            </c:ext>
          </c:extLst>
        </c:ser>
        <c:ser>
          <c:idx val="1"/>
          <c:order val="1"/>
          <c:spPr>
            <a:ln w="28440">
              <a:solidFill>
                <a:srgbClr val="BE4B48"/>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KPIs'!$C$10</c:f>
              <c:numCache>
                <c:formatCode>0.0%</c:formatCode>
                <c:ptCount val="1"/>
              </c:numCache>
            </c:numRef>
          </c:val>
          <c:smooth val="1"/>
          <c:extLst>
            <c:ext xmlns:c16="http://schemas.microsoft.com/office/drawing/2014/chart" uri="{C3380CC4-5D6E-409C-BE32-E72D297353CC}">
              <c16:uniqueId val="{00000001-4E88-438E-91A2-CFDA6AA08577}"/>
            </c:ext>
          </c:extLst>
        </c:ser>
        <c:ser>
          <c:idx val="2"/>
          <c:order val="2"/>
          <c:spPr>
            <a:ln w="28440">
              <a:solidFill>
                <a:srgbClr val="98B855"/>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KPIs'!$D$10</c:f>
              <c:numCache>
                <c:formatCode>0.0%</c:formatCode>
                <c:ptCount val="1"/>
                <c:pt idx="0">
                  <c:v>5.0999999999999997E-2</c:v>
                </c:pt>
              </c:numCache>
            </c:numRef>
          </c:val>
          <c:smooth val="1"/>
          <c:extLst>
            <c:ext xmlns:c16="http://schemas.microsoft.com/office/drawing/2014/chart" uri="{C3380CC4-5D6E-409C-BE32-E72D297353CC}">
              <c16:uniqueId val="{00000002-4E88-438E-91A2-CFDA6AA08577}"/>
            </c:ext>
          </c:extLst>
        </c:ser>
        <c:ser>
          <c:idx val="3"/>
          <c:order val="3"/>
          <c:spPr>
            <a:ln w="28440">
              <a:solidFill>
                <a:srgbClr val="7D5FA0"/>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KPIs'!$E$10</c:f>
              <c:numCache>
                <c:formatCode>0.0%</c:formatCode>
                <c:ptCount val="1"/>
                <c:pt idx="0">
                  <c:v>5.7000000000000002E-2</c:v>
                </c:pt>
              </c:numCache>
            </c:numRef>
          </c:val>
          <c:smooth val="1"/>
          <c:extLst>
            <c:ext xmlns:c16="http://schemas.microsoft.com/office/drawing/2014/chart" uri="{C3380CC4-5D6E-409C-BE32-E72D297353CC}">
              <c16:uniqueId val="{00000003-4E88-438E-91A2-CFDA6AA08577}"/>
            </c:ext>
          </c:extLst>
        </c:ser>
        <c:ser>
          <c:idx val="4"/>
          <c:order val="4"/>
          <c:spPr>
            <a:ln w="28440">
              <a:solidFill>
                <a:srgbClr val="46AAC4"/>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KPIs'!$F$10</c:f>
              <c:numCache>
                <c:formatCode>0.0%</c:formatCode>
                <c:ptCount val="1"/>
                <c:pt idx="0">
                  <c:v>5.0999999999999997E-2</c:v>
                </c:pt>
              </c:numCache>
            </c:numRef>
          </c:val>
          <c:smooth val="1"/>
          <c:extLst>
            <c:ext xmlns:c16="http://schemas.microsoft.com/office/drawing/2014/chart" uri="{C3380CC4-5D6E-409C-BE32-E72D297353CC}">
              <c16:uniqueId val="{00000004-4E88-438E-91A2-CFDA6AA08577}"/>
            </c:ext>
          </c:extLst>
        </c:ser>
        <c:ser>
          <c:idx val="5"/>
          <c:order val="5"/>
          <c:spPr>
            <a:ln w="28440">
              <a:solidFill>
                <a:srgbClr val="F59240"/>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KPIs'!$G$10</c:f>
              <c:numCache>
                <c:formatCode>0.0%</c:formatCode>
                <c:ptCount val="1"/>
                <c:pt idx="0">
                  <c:v>4.7E-2</c:v>
                </c:pt>
              </c:numCache>
            </c:numRef>
          </c:val>
          <c:smooth val="1"/>
          <c:extLst>
            <c:ext xmlns:c16="http://schemas.microsoft.com/office/drawing/2014/chart" uri="{C3380CC4-5D6E-409C-BE32-E72D297353CC}">
              <c16:uniqueId val="{00000005-4E88-438E-91A2-CFDA6AA08577}"/>
            </c:ext>
          </c:extLst>
        </c:ser>
        <c:dLbls>
          <c:showLegendKey val="0"/>
          <c:showVal val="0"/>
          <c:showCatName val="0"/>
          <c:showSerName val="0"/>
          <c:showPercent val="0"/>
          <c:showBubbleSize val="0"/>
        </c:dLbls>
        <c:hiLowLines>
          <c:spPr>
            <a:ln w="0">
              <a:noFill/>
            </a:ln>
          </c:spPr>
        </c:hiLowLines>
        <c:marker val="1"/>
        <c:smooth val="0"/>
        <c:axId val="3051974"/>
        <c:axId val="39400058"/>
      </c:lineChart>
      <c:catAx>
        <c:axId val="3051974"/>
        <c:scaling>
          <c:orientation val="minMax"/>
        </c:scaling>
        <c:delete val="0"/>
        <c:axPos val="b"/>
        <c:numFmt formatCode="General"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CH"/>
          </a:p>
        </c:txPr>
        <c:crossAx val="39400058"/>
        <c:crosses val="autoZero"/>
        <c:auto val="1"/>
        <c:lblAlgn val="ctr"/>
        <c:lblOffset val="100"/>
        <c:noMultiLvlLbl val="0"/>
      </c:catAx>
      <c:valAx>
        <c:axId val="39400058"/>
        <c:scaling>
          <c:orientation val="minMax"/>
          <c:max val="7.0000000000000007E-2"/>
          <c:min val="0.03"/>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CH"/>
          </a:p>
        </c:txPr>
        <c:crossAx val="3051974"/>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rot="0"/>
          <a:lstStyle/>
          <a:p>
            <a:pPr>
              <a:defRPr sz="1800" b="1" strike="noStrike" spc="-1">
                <a:solidFill>
                  <a:srgbClr val="000000"/>
                </a:solidFill>
                <a:latin typeface="Calibri"/>
              </a:defRPr>
            </a:pPr>
            <a:r>
              <a:rPr lang="en-GB" sz="1800" b="1" strike="noStrike" spc="-1">
                <a:solidFill>
                  <a:srgbClr val="000000"/>
                </a:solidFill>
                <a:latin typeface="Calibri"/>
              </a:rPr>
              <a:t>Cost:income ratio (%)</a:t>
            </a:r>
          </a:p>
        </c:rich>
      </c:tx>
      <c:overlay val="0"/>
      <c:spPr>
        <a:noFill/>
        <a:ln w="0">
          <a:noFill/>
        </a:ln>
      </c:spPr>
    </c:title>
    <c:autoTitleDeleted val="0"/>
    <c:plotArea>
      <c:layout/>
      <c:lineChart>
        <c:grouping val="standard"/>
        <c:varyColors val="0"/>
        <c:ser>
          <c:idx val="0"/>
          <c:order val="0"/>
          <c:spPr>
            <a:ln w="21960">
              <a:solidFill>
                <a:srgbClr val="4A7EBB"/>
              </a:solidFill>
              <a:round/>
            </a:ln>
          </c:spPr>
          <c:marker>
            <c:symbol val="circle"/>
            <c:size val="5"/>
            <c:spPr>
              <a:solidFill>
                <a:srgbClr val="4A7EBB"/>
              </a:solidFill>
            </c:spPr>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KPIs'!$B$12</c:f>
              <c:numCache>
                <c:formatCode>0.0%</c:formatCode>
                <c:ptCount val="1"/>
              </c:numCache>
            </c:numRef>
          </c:val>
          <c:smooth val="1"/>
          <c:extLst>
            <c:ext xmlns:c16="http://schemas.microsoft.com/office/drawing/2014/chart" uri="{C3380CC4-5D6E-409C-BE32-E72D297353CC}">
              <c16:uniqueId val="{00000000-1FF8-4882-8290-7083C1830D72}"/>
            </c:ext>
          </c:extLst>
        </c:ser>
        <c:ser>
          <c:idx val="1"/>
          <c:order val="1"/>
          <c:spPr>
            <a:ln w="28440">
              <a:solidFill>
                <a:srgbClr val="BE4B48"/>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KPIs'!$C$12</c:f>
              <c:numCache>
                <c:formatCode>0.0%</c:formatCode>
                <c:ptCount val="1"/>
              </c:numCache>
            </c:numRef>
          </c:val>
          <c:smooth val="1"/>
          <c:extLst>
            <c:ext xmlns:c16="http://schemas.microsoft.com/office/drawing/2014/chart" uri="{C3380CC4-5D6E-409C-BE32-E72D297353CC}">
              <c16:uniqueId val="{00000001-1FF8-4882-8290-7083C1830D72}"/>
            </c:ext>
          </c:extLst>
        </c:ser>
        <c:ser>
          <c:idx val="2"/>
          <c:order val="2"/>
          <c:spPr>
            <a:ln w="28440">
              <a:solidFill>
                <a:srgbClr val="98B855"/>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KPIs'!$D$12</c:f>
              <c:numCache>
                <c:formatCode>0.0%</c:formatCode>
                <c:ptCount val="1"/>
                <c:pt idx="0">
                  <c:v>0.79</c:v>
                </c:pt>
              </c:numCache>
            </c:numRef>
          </c:val>
          <c:smooth val="1"/>
          <c:extLst>
            <c:ext xmlns:c16="http://schemas.microsoft.com/office/drawing/2014/chart" uri="{C3380CC4-5D6E-409C-BE32-E72D297353CC}">
              <c16:uniqueId val="{00000002-1FF8-4882-8290-7083C1830D72}"/>
            </c:ext>
          </c:extLst>
        </c:ser>
        <c:ser>
          <c:idx val="3"/>
          <c:order val="3"/>
          <c:spPr>
            <a:ln w="28440">
              <a:solidFill>
                <a:srgbClr val="7D5FA0"/>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KPIs'!$E$12</c:f>
              <c:numCache>
                <c:formatCode>0.0%</c:formatCode>
                <c:ptCount val="1"/>
                <c:pt idx="0">
                  <c:v>0.73</c:v>
                </c:pt>
              </c:numCache>
            </c:numRef>
          </c:val>
          <c:smooth val="1"/>
          <c:extLst>
            <c:ext xmlns:c16="http://schemas.microsoft.com/office/drawing/2014/chart" uri="{C3380CC4-5D6E-409C-BE32-E72D297353CC}">
              <c16:uniqueId val="{00000003-1FF8-4882-8290-7083C1830D72}"/>
            </c:ext>
          </c:extLst>
        </c:ser>
        <c:ser>
          <c:idx val="4"/>
          <c:order val="4"/>
          <c:spPr>
            <a:ln w="28440">
              <a:solidFill>
                <a:srgbClr val="46AAC4"/>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KPIs'!$F$12</c:f>
              <c:numCache>
                <c:formatCode>0.0%</c:formatCode>
                <c:ptCount val="1"/>
                <c:pt idx="0">
                  <c:v>0.78</c:v>
                </c:pt>
              </c:numCache>
            </c:numRef>
          </c:val>
          <c:smooth val="1"/>
          <c:extLst>
            <c:ext xmlns:c16="http://schemas.microsoft.com/office/drawing/2014/chart" uri="{C3380CC4-5D6E-409C-BE32-E72D297353CC}">
              <c16:uniqueId val="{00000004-1FF8-4882-8290-7083C1830D72}"/>
            </c:ext>
          </c:extLst>
        </c:ser>
        <c:ser>
          <c:idx val="5"/>
          <c:order val="5"/>
          <c:spPr>
            <a:ln w="28440">
              <a:solidFill>
                <a:srgbClr val="F59240"/>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KPIs'!$G$12</c:f>
              <c:numCache>
                <c:formatCode>0.0%</c:formatCode>
                <c:ptCount val="1"/>
                <c:pt idx="0">
                  <c:v>0.87</c:v>
                </c:pt>
              </c:numCache>
            </c:numRef>
          </c:val>
          <c:smooth val="1"/>
          <c:extLst>
            <c:ext xmlns:c16="http://schemas.microsoft.com/office/drawing/2014/chart" uri="{C3380CC4-5D6E-409C-BE32-E72D297353CC}">
              <c16:uniqueId val="{00000005-1FF8-4882-8290-7083C1830D72}"/>
            </c:ext>
          </c:extLst>
        </c:ser>
        <c:dLbls>
          <c:showLegendKey val="0"/>
          <c:showVal val="0"/>
          <c:showCatName val="0"/>
          <c:showSerName val="0"/>
          <c:showPercent val="0"/>
          <c:showBubbleSize val="0"/>
        </c:dLbls>
        <c:hiLowLines>
          <c:spPr>
            <a:ln w="0">
              <a:noFill/>
            </a:ln>
          </c:spPr>
        </c:hiLowLines>
        <c:marker val="1"/>
        <c:smooth val="0"/>
        <c:axId val="75917030"/>
        <c:axId val="72667842"/>
      </c:lineChart>
      <c:catAx>
        <c:axId val="75917030"/>
        <c:scaling>
          <c:orientation val="minMax"/>
        </c:scaling>
        <c:delete val="0"/>
        <c:axPos val="b"/>
        <c:numFmt formatCode="General"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CH"/>
          </a:p>
        </c:txPr>
        <c:crossAx val="72667842"/>
        <c:crosses val="autoZero"/>
        <c:auto val="1"/>
        <c:lblAlgn val="ctr"/>
        <c:lblOffset val="100"/>
        <c:noMultiLvlLbl val="0"/>
      </c:catAx>
      <c:valAx>
        <c:axId val="72667842"/>
        <c:scaling>
          <c:orientation val="minMax"/>
          <c:max val="1.1000000000000001"/>
          <c:min val="0.6"/>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CH"/>
          </a:p>
        </c:txPr>
        <c:crossAx val="75917030"/>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c:style val="2"/>
  <c:chart>
    <c:title>
      <c:tx>
        <c:rich>
          <a:bodyPr rot="0"/>
          <a:lstStyle/>
          <a:p>
            <a:pPr>
              <a:defRPr sz="1800" b="1" strike="noStrike" spc="-1">
                <a:solidFill>
                  <a:srgbClr val="000000"/>
                </a:solidFill>
                <a:latin typeface="Calibri"/>
              </a:defRPr>
            </a:pPr>
            <a:r>
              <a:rPr lang="en-GB" sz="1800" b="1" strike="noStrike" spc="-1">
                <a:solidFill>
                  <a:srgbClr val="000000"/>
                </a:solidFill>
                <a:latin typeface="Calibri"/>
              </a:rPr>
              <a:t>Return on average equity (%)</a:t>
            </a:r>
          </a:p>
        </c:rich>
      </c:tx>
      <c:overlay val="0"/>
      <c:spPr>
        <a:noFill/>
        <a:ln w="0">
          <a:noFill/>
        </a:ln>
      </c:spPr>
    </c:title>
    <c:autoTitleDeleted val="0"/>
    <c:plotArea>
      <c:layout/>
      <c:lineChart>
        <c:grouping val="standard"/>
        <c:varyColors val="0"/>
        <c:ser>
          <c:idx val="0"/>
          <c:order val="0"/>
          <c:spPr>
            <a:ln w="21960">
              <a:solidFill>
                <a:srgbClr val="4A7EBB"/>
              </a:solidFill>
              <a:round/>
            </a:ln>
          </c:spPr>
          <c:marker>
            <c:symbol val="circle"/>
            <c:size val="5"/>
            <c:spPr>
              <a:solidFill>
                <a:srgbClr val="4A7EBB"/>
              </a:solidFill>
            </c:spPr>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KPIs'!$B$15</c:f>
              <c:numCache>
                <c:formatCode>0.0%</c:formatCode>
                <c:ptCount val="1"/>
              </c:numCache>
            </c:numRef>
          </c:val>
          <c:smooth val="1"/>
          <c:extLst>
            <c:ext xmlns:c16="http://schemas.microsoft.com/office/drawing/2014/chart" uri="{C3380CC4-5D6E-409C-BE32-E72D297353CC}">
              <c16:uniqueId val="{00000000-3F3C-46F7-9E8C-10F78399C7E4}"/>
            </c:ext>
          </c:extLst>
        </c:ser>
        <c:ser>
          <c:idx val="1"/>
          <c:order val="1"/>
          <c:spPr>
            <a:ln w="28440">
              <a:solidFill>
                <a:srgbClr val="BE4B48"/>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KPIs'!$C$15</c:f>
              <c:numCache>
                <c:formatCode>0.0%</c:formatCode>
                <c:ptCount val="1"/>
              </c:numCache>
            </c:numRef>
          </c:val>
          <c:smooth val="1"/>
          <c:extLst>
            <c:ext xmlns:c16="http://schemas.microsoft.com/office/drawing/2014/chart" uri="{C3380CC4-5D6E-409C-BE32-E72D297353CC}">
              <c16:uniqueId val="{00000001-3F3C-46F7-9E8C-10F78399C7E4}"/>
            </c:ext>
          </c:extLst>
        </c:ser>
        <c:ser>
          <c:idx val="2"/>
          <c:order val="2"/>
          <c:spPr>
            <a:ln w="28440">
              <a:solidFill>
                <a:srgbClr val="98B855"/>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KPIs'!$D$15</c:f>
              <c:numCache>
                <c:formatCode>0.0%</c:formatCode>
                <c:ptCount val="1"/>
                <c:pt idx="0">
                  <c:v>0.1</c:v>
                </c:pt>
              </c:numCache>
            </c:numRef>
          </c:val>
          <c:smooth val="1"/>
          <c:extLst>
            <c:ext xmlns:c16="http://schemas.microsoft.com/office/drawing/2014/chart" uri="{C3380CC4-5D6E-409C-BE32-E72D297353CC}">
              <c16:uniqueId val="{00000002-3F3C-46F7-9E8C-10F78399C7E4}"/>
            </c:ext>
          </c:extLst>
        </c:ser>
        <c:ser>
          <c:idx val="3"/>
          <c:order val="3"/>
          <c:spPr>
            <a:ln w="28440">
              <a:solidFill>
                <a:srgbClr val="7D5FA0"/>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KPIs'!$E$15</c:f>
              <c:numCache>
                <c:formatCode>0.0%</c:formatCode>
                <c:ptCount val="1"/>
                <c:pt idx="0">
                  <c:v>0.18160000000000001</c:v>
                </c:pt>
              </c:numCache>
            </c:numRef>
          </c:val>
          <c:smooth val="1"/>
          <c:extLst>
            <c:ext xmlns:c16="http://schemas.microsoft.com/office/drawing/2014/chart" uri="{C3380CC4-5D6E-409C-BE32-E72D297353CC}">
              <c16:uniqueId val="{00000003-3F3C-46F7-9E8C-10F78399C7E4}"/>
            </c:ext>
          </c:extLst>
        </c:ser>
        <c:ser>
          <c:idx val="4"/>
          <c:order val="4"/>
          <c:spPr>
            <a:ln w="28440">
              <a:solidFill>
                <a:srgbClr val="46AAC4"/>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KPIs'!$F$15</c:f>
              <c:numCache>
                <c:formatCode>0.0%</c:formatCode>
                <c:ptCount val="1"/>
                <c:pt idx="0">
                  <c:v>0.10630000000000001</c:v>
                </c:pt>
              </c:numCache>
            </c:numRef>
          </c:val>
          <c:smooth val="1"/>
          <c:extLst>
            <c:ext xmlns:c16="http://schemas.microsoft.com/office/drawing/2014/chart" uri="{C3380CC4-5D6E-409C-BE32-E72D297353CC}">
              <c16:uniqueId val="{00000004-3F3C-46F7-9E8C-10F78399C7E4}"/>
            </c:ext>
          </c:extLst>
        </c:ser>
        <c:ser>
          <c:idx val="5"/>
          <c:order val="5"/>
          <c:spPr>
            <a:ln w="28440">
              <a:solidFill>
                <a:srgbClr val="F59240"/>
              </a:solidFill>
              <a:round/>
            </a:ln>
          </c:spPr>
          <c:marker>
            <c:symbol val="none"/>
          </c:marker>
          <c:dLbls>
            <c:spPr>
              <a:noFill/>
              <a:ln>
                <a:noFill/>
              </a:ln>
              <a:effectLst/>
            </c:spPr>
            <c:txPr>
              <a:bodyPr wrap="none"/>
              <a:lstStyle/>
              <a:p>
                <a:pPr>
                  <a:defRPr sz="1000" b="0" strike="noStrike" spc="-1">
                    <a:solidFill>
                      <a:srgbClr val="000000"/>
                    </a:solidFill>
                    <a:latin typeface="Arial"/>
                  </a:defRPr>
                </a:pPr>
                <a:endParaRPr lang="en-CH"/>
              </a:p>
            </c:txPr>
            <c:dLblPos val="r"/>
            <c:showLegendKey val="0"/>
            <c:showVal val="0"/>
            <c:showCatName val="0"/>
            <c:showSerName val="0"/>
            <c:showPercent val="0"/>
            <c:showBubbleSize val="1"/>
            <c:separator> </c:separator>
            <c:showLeaderLines val="0"/>
            <c:extLst>
              <c:ext xmlns:c15="http://schemas.microsoft.com/office/drawing/2012/chart" uri="{CE6537A1-D6FC-4f65-9D91-7224C49458BB}">
                <c15:showLeaderLines val="1"/>
              </c:ext>
            </c:extLst>
          </c:dLbls>
          <c:cat>
            <c:strRef>
              <c:f>'Bank KPIs'!$B$4:$G$4</c:f>
              <c:strCache>
                <c:ptCount val="6"/>
                <c:pt idx="0">
                  <c:v>FY2020</c:v>
                </c:pt>
                <c:pt idx="1">
                  <c:v>FY2021</c:v>
                </c:pt>
                <c:pt idx="2">
                  <c:v>FY2022</c:v>
                </c:pt>
                <c:pt idx="3">
                  <c:v>FY2023</c:v>
                </c:pt>
                <c:pt idx="4">
                  <c:v>FY2024</c:v>
                </c:pt>
                <c:pt idx="5">
                  <c:v>FY2025</c:v>
                </c:pt>
              </c:strCache>
            </c:strRef>
          </c:cat>
          <c:val>
            <c:numRef>
              <c:f>'Bank KPIs'!$G$15</c:f>
              <c:numCache>
                <c:formatCode>0.0%</c:formatCode>
                <c:ptCount val="1"/>
                <c:pt idx="0">
                  <c:v>7.7600000000000002E-2</c:v>
                </c:pt>
              </c:numCache>
            </c:numRef>
          </c:val>
          <c:smooth val="1"/>
          <c:extLst>
            <c:ext xmlns:c16="http://schemas.microsoft.com/office/drawing/2014/chart" uri="{C3380CC4-5D6E-409C-BE32-E72D297353CC}">
              <c16:uniqueId val="{00000005-3F3C-46F7-9E8C-10F78399C7E4}"/>
            </c:ext>
          </c:extLst>
        </c:ser>
        <c:dLbls>
          <c:showLegendKey val="0"/>
          <c:showVal val="0"/>
          <c:showCatName val="0"/>
          <c:showSerName val="0"/>
          <c:showPercent val="0"/>
          <c:showBubbleSize val="0"/>
        </c:dLbls>
        <c:hiLowLines>
          <c:spPr>
            <a:ln w="0">
              <a:noFill/>
            </a:ln>
          </c:spPr>
        </c:hiLowLines>
        <c:marker val="1"/>
        <c:smooth val="0"/>
        <c:axId val="63977191"/>
        <c:axId val="62546967"/>
      </c:lineChart>
      <c:catAx>
        <c:axId val="63977191"/>
        <c:scaling>
          <c:orientation val="minMax"/>
        </c:scaling>
        <c:delete val="0"/>
        <c:axPos val="b"/>
        <c:numFmt formatCode="General"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CH"/>
          </a:p>
        </c:txPr>
        <c:crossAx val="62546967"/>
        <c:crosses val="autoZero"/>
        <c:auto val="1"/>
        <c:lblAlgn val="ctr"/>
        <c:lblOffset val="100"/>
        <c:noMultiLvlLbl val="0"/>
      </c:catAx>
      <c:valAx>
        <c:axId val="62546967"/>
        <c:scaling>
          <c:orientation val="minMax"/>
          <c:max val="0.2"/>
          <c:min val="0"/>
        </c:scaling>
        <c:delete val="0"/>
        <c:axPos val="l"/>
        <c:majorGridlines>
          <c:spPr>
            <a:ln w="9360">
              <a:solidFill>
                <a:srgbClr val="878787"/>
              </a:solidFill>
              <a:round/>
            </a:ln>
          </c:spPr>
        </c:majorGridlines>
        <c:numFmt formatCode="0%" sourceLinked="0"/>
        <c:majorTickMark val="none"/>
        <c:minorTickMark val="none"/>
        <c:tickLblPos val="nextTo"/>
        <c:spPr>
          <a:ln w="9360">
            <a:solidFill>
              <a:srgbClr val="878787"/>
            </a:solidFill>
            <a:round/>
          </a:ln>
        </c:spPr>
        <c:txPr>
          <a:bodyPr/>
          <a:lstStyle/>
          <a:p>
            <a:pPr>
              <a:defRPr sz="1000" b="0" strike="noStrike" spc="-1">
                <a:solidFill>
                  <a:srgbClr val="000000"/>
                </a:solidFill>
                <a:latin typeface="Calibri"/>
              </a:defRPr>
            </a:pPr>
            <a:endParaRPr lang="en-CH"/>
          </a:p>
        </c:txPr>
        <c:crossAx val="63977191"/>
        <c:crosses val="autoZero"/>
        <c:crossBetween val="between"/>
      </c:valAx>
      <c:spPr>
        <a:noFill/>
        <a:ln w="0">
          <a:noFill/>
        </a:ln>
      </c:spPr>
    </c:plotArea>
    <c:plotVisOnly val="1"/>
    <c:dispBlanksAs val="gap"/>
    <c:showDLblsOverMax val="1"/>
  </c:chart>
  <c:spPr>
    <a:solidFill>
      <a:srgbClr val="FFFFFF"/>
    </a:solidFill>
    <a:ln w="9360">
      <a:solidFill>
        <a:srgbClr val="D9D9D9"/>
      </a:solidFill>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26</xdr:row>
      <xdr:rowOff>0</xdr:rowOff>
    </xdr:from>
    <xdr:to>
      <xdr:col>1</xdr:col>
      <xdr:colOff>192240</xdr:colOff>
      <xdr:row>39</xdr:row>
      <xdr:rowOff>42480</xdr:rowOff>
    </xdr:to>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5</xdr:col>
      <xdr:colOff>0</xdr:colOff>
      <xdr:row>26</xdr:row>
      <xdr:rowOff>0</xdr:rowOff>
    </xdr:from>
    <xdr:to>
      <xdr:col>10</xdr:col>
      <xdr:colOff>190440</xdr:colOff>
      <xdr:row>39</xdr:row>
      <xdr:rowOff>42480</xdr:rowOff>
    </xdr:to>
    <xdr:graphicFrame macro="">
      <xdr:nvGraphicFramePr>
        <xdr:cNvPr id="3" name="Chart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0</xdr:col>
      <xdr:colOff>0</xdr:colOff>
      <xdr:row>42</xdr:row>
      <xdr:rowOff>0</xdr:rowOff>
    </xdr:from>
    <xdr:to>
      <xdr:col>1</xdr:col>
      <xdr:colOff>192240</xdr:colOff>
      <xdr:row>55</xdr:row>
      <xdr:rowOff>42840</xdr:rowOff>
    </xdr:to>
    <xdr:graphicFrame macro="">
      <xdr:nvGraphicFramePr>
        <xdr:cNvPr id="4" name="Chart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oneCell">
    <xdr:from>
      <xdr:col>5</xdr:col>
      <xdr:colOff>0</xdr:colOff>
      <xdr:row>42</xdr:row>
      <xdr:rowOff>0</xdr:rowOff>
    </xdr:from>
    <xdr:to>
      <xdr:col>10</xdr:col>
      <xdr:colOff>190440</xdr:colOff>
      <xdr:row>55</xdr:row>
      <xdr:rowOff>42840</xdr:rowOff>
    </xdr:to>
    <xdr:graphicFrame macro="">
      <xdr:nvGraphicFramePr>
        <xdr:cNvPr id="5" name="Chart 4">
          <a:extLst>
            <a:ext uri="{FF2B5EF4-FFF2-40B4-BE49-F238E27FC236}">
              <a16:creationId xmlns:a16="http://schemas.microsoft.com/office/drawing/2014/main" id="{00000000-0008-0000-03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9"/>
  <sheetViews>
    <sheetView tabSelected="1" zoomScale="160" zoomScaleNormal="160" workbookViewId="0">
      <pane xSplit="1" ySplit="4" topLeftCell="B17" activePane="bottomRight" state="frozen"/>
      <selection pane="topRight" activeCell="B1" sqref="B1"/>
      <selection pane="bottomLeft" activeCell="A5" sqref="A5"/>
      <selection pane="bottomRight" activeCell="A19" sqref="A19"/>
    </sheetView>
  </sheetViews>
  <sheetFormatPr defaultColWidth="8.7109375" defaultRowHeight="15" x14ac:dyDescent="0.25"/>
  <cols>
    <col min="1" max="1" width="62" customWidth="1"/>
    <col min="2" max="7" width="15" customWidth="1"/>
  </cols>
  <sheetData>
    <row r="1" spans="1:7" ht="15.75" x14ac:dyDescent="0.25">
      <c r="A1" s="15" t="s">
        <v>0</v>
      </c>
    </row>
    <row r="2" spans="1:7" x14ac:dyDescent="0.25">
      <c r="A2" s="16" t="s">
        <v>1</v>
      </c>
    </row>
    <row r="4" spans="1:7" x14ac:dyDescent="0.25">
      <c r="A4" s="17"/>
      <c r="B4" s="18" t="s">
        <v>2</v>
      </c>
      <c r="C4" s="18" t="s">
        <v>3</v>
      </c>
      <c r="D4" s="18" t="s">
        <v>4</v>
      </c>
      <c r="E4" s="18" t="s">
        <v>5</v>
      </c>
      <c r="F4" s="18" t="s">
        <v>6</v>
      </c>
      <c r="G4" s="18" t="s">
        <v>7</v>
      </c>
    </row>
    <row r="5" spans="1:7" x14ac:dyDescent="0.25">
      <c r="A5" s="19" t="s">
        <v>8</v>
      </c>
    </row>
    <row r="6" spans="1:7" x14ac:dyDescent="0.25">
      <c r="A6" s="17" t="s">
        <v>9</v>
      </c>
      <c r="B6" s="20">
        <v>75082</v>
      </c>
      <c r="C6" s="20">
        <v>77102</v>
      </c>
      <c r="D6" s="20">
        <v>120013</v>
      </c>
      <c r="E6" s="20">
        <v>231836</v>
      </c>
      <c r="F6" s="20">
        <v>263435</v>
      </c>
      <c r="G6" s="20">
        <v>247248</v>
      </c>
    </row>
    <row r="7" spans="1:7" x14ac:dyDescent="0.25">
      <c r="A7" s="17" t="s">
        <v>10</v>
      </c>
      <c r="B7" s="20">
        <v>-17024</v>
      </c>
      <c r="C7" s="20">
        <v>-13027</v>
      </c>
      <c r="D7" s="20">
        <v>-20932</v>
      </c>
      <c r="E7" s="20">
        <v>-95217</v>
      </c>
      <c r="F7" s="20">
        <v>-137568</v>
      </c>
      <c r="G7" s="20">
        <v>-129122</v>
      </c>
    </row>
    <row r="8" spans="1:7" x14ac:dyDescent="0.25">
      <c r="A8" s="21" t="s">
        <v>11</v>
      </c>
      <c r="B8" s="22">
        <f t="shared" ref="B8:G8" si="0">SUM(B6:B7)</f>
        <v>58058</v>
      </c>
      <c r="C8" s="22">
        <f t="shared" si="0"/>
        <v>64075</v>
      </c>
      <c r="D8" s="22">
        <f t="shared" si="0"/>
        <v>99081</v>
      </c>
      <c r="E8" s="22">
        <f t="shared" si="0"/>
        <v>136619</v>
      </c>
      <c r="F8" s="22">
        <f t="shared" si="0"/>
        <v>125867</v>
      </c>
      <c r="G8" s="22">
        <f t="shared" si="0"/>
        <v>118126</v>
      </c>
    </row>
    <row r="9" spans="1:7" x14ac:dyDescent="0.25">
      <c r="A9" s="17" t="s">
        <v>12</v>
      </c>
      <c r="B9" s="20">
        <v>14735</v>
      </c>
      <c r="C9" s="20">
        <v>18472</v>
      </c>
      <c r="D9" s="20">
        <v>21586</v>
      </c>
      <c r="E9" s="20">
        <v>23170</v>
      </c>
      <c r="F9" s="20">
        <v>29142</v>
      </c>
      <c r="G9" s="20">
        <v>31689</v>
      </c>
    </row>
    <row r="10" spans="1:7" x14ac:dyDescent="0.25">
      <c r="A10" s="17" t="s">
        <v>13</v>
      </c>
      <c r="B10" s="20">
        <v>-293</v>
      </c>
      <c r="C10" s="20">
        <v>-349</v>
      </c>
      <c r="D10" s="20">
        <v>-537</v>
      </c>
      <c r="E10" s="20">
        <v>-768</v>
      </c>
      <c r="F10" s="20">
        <v>-1029</v>
      </c>
      <c r="G10" s="20">
        <v>-1444</v>
      </c>
    </row>
    <row r="11" spans="1:7" x14ac:dyDescent="0.25">
      <c r="A11" s="21" t="s">
        <v>14</v>
      </c>
      <c r="B11" s="22">
        <f t="shared" ref="B11:G11" si="1">SUM(B9:B10)</f>
        <v>14442</v>
      </c>
      <c r="C11" s="22">
        <f t="shared" si="1"/>
        <v>18123</v>
      </c>
      <c r="D11" s="22">
        <f t="shared" si="1"/>
        <v>21049</v>
      </c>
      <c r="E11" s="22">
        <f t="shared" si="1"/>
        <v>22402</v>
      </c>
      <c r="F11" s="22">
        <f t="shared" si="1"/>
        <v>28113</v>
      </c>
      <c r="G11" s="22">
        <f t="shared" si="1"/>
        <v>30245</v>
      </c>
    </row>
    <row r="12" spans="1:7" x14ac:dyDescent="0.25">
      <c r="A12" s="21" t="s">
        <v>15</v>
      </c>
      <c r="B12" s="22">
        <f t="shared" ref="B12:G12" si="2">B8+B11</f>
        <v>72500</v>
      </c>
      <c r="C12" s="22">
        <f t="shared" si="2"/>
        <v>82198</v>
      </c>
      <c r="D12" s="22">
        <f t="shared" si="2"/>
        <v>120130</v>
      </c>
      <c r="E12" s="22">
        <f t="shared" si="2"/>
        <v>159021</v>
      </c>
      <c r="F12" s="22">
        <f t="shared" si="2"/>
        <v>153980</v>
      </c>
      <c r="G12" s="22">
        <f t="shared" si="2"/>
        <v>148371</v>
      </c>
    </row>
    <row r="13" spans="1:7" x14ac:dyDescent="0.25">
      <c r="A13" s="19" t="s">
        <v>16</v>
      </c>
    </row>
    <row r="14" spans="1:7" x14ac:dyDescent="0.25">
      <c r="A14" s="17" t="s">
        <v>17</v>
      </c>
      <c r="B14" s="20">
        <v>0</v>
      </c>
      <c r="C14" s="20">
        <v>74500</v>
      </c>
      <c r="D14" s="20">
        <v>99367</v>
      </c>
      <c r="E14" s="20">
        <v>100952</v>
      </c>
      <c r="F14" s="20">
        <v>110832</v>
      </c>
      <c r="G14" s="20">
        <v>118569</v>
      </c>
    </row>
    <row r="15" spans="1:7" x14ac:dyDescent="0.25">
      <c r="A15" s="17" t="s">
        <v>18</v>
      </c>
      <c r="B15" s="20">
        <v>0</v>
      </c>
      <c r="C15" s="20">
        <v>-68023</v>
      </c>
      <c r="D15" s="20">
        <v>-82109</v>
      </c>
      <c r="E15" s="20">
        <v>-81074</v>
      </c>
      <c r="F15" s="20">
        <v>-85301</v>
      </c>
      <c r="G15" s="20">
        <v>-97466</v>
      </c>
    </row>
    <row r="16" spans="1:7" x14ac:dyDescent="0.25">
      <c r="A16" s="21" t="s">
        <v>19</v>
      </c>
      <c r="B16" s="22">
        <f t="shared" ref="B16:G16" si="3">SUM(B14:B15)</f>
        <v>0</v>
      </c>
      <c r="C16" s="22">
        <f t="shared" si="3"/>
        <v>6477</v>
      </c>
      <c r="D16" s="22">
        <f t="shared" si="3"/>
        <v>17258</v>
      </c>
      <c r="E16" s="22">
        <f t="shared" si="3"/>
        <v>19878</v>
      </c>
      <c r="F16" s="22">
        <f t="shared" si="3"/>
        <v>25531</v>
      </c>
      <c r="G16" s="22">
        <f t="shared" si="3"/>
        <v>21103</v>
      </c>
    </row>
    <row r="17" spans="1:7" x14ac:dyDescent="0.25">
      <c r="A17" s="21" t="s">
        <v>20</v>
      </c>
      <c r="B17" s="22">
        <f t="shared" ref="B17:G17" si="4">B12+B16</f>
        <v>72500</v>
      </c>
      <c r="C17" s="22">
        <f t="shared" si="4"/>
        <v>88675</v>
      </c>
      <c r="D17" s="22">
        <f t="shared" si="4"/>
        <v>137388</v>
      </c>
      <c r="E17" s="22">
        <f t="shared" si="4"/>
        <v>178899</v>
      </c>
      <c r="F17" s="22">
        <f t="shared" si="4"/>
        <v>179511</v>
      </c>
      <c r="G17" s="22">
        <f t="shared" si="4"/>
        <v>169474</v>
      </c>
    </row>
    <row r="18" spans="1:7" x14ac:dyDescent="0.25">
      <c r="A18" s="17" t="s">
        <v>21</v>
      </c>
      <c r="B18" s="20">
        <v>-2849</v>
      </c>
      <c r="C18" s="20">
        <v>-3196</v>
      </c>
      <c r="D18" s="20">
        <v>-5503</v>
      </c>
      <c r="E18" s="20">
        <v>-3191</v>
      </c>
      <c r="F18" s="20">
        <v>-6275</v>
      </c>
      <c r="G18" s="20">
        <v>-2501</v>
      </c>
    </row>
    <row r="19" spans="1:7" x14ac:dyDescent="0.25">
      <c r="A19" s="23" t="s">
        <v>22</v>
      </c>
      <c r="B19" s="20">
        <v>0</v>
      </c>
      <c r="C19" s="20">
        <v>8626</v>
      </c>
      <c r="D19" s="20">
        <v>0</v>
      </c>
      <c r="E19" s="20">
        <v>0</v>
      </c>
      <c r="F19" s="20">
        <v>0</v>
      </c>
      <c r="G19" s="20">
        <v>0</v>
      </c>
    </row>
    <row r="20" spans="1:7" x14ac:dyDescent="0.25">
      <c r="A20" s="23" t="s">
        <v>23</v>
      </c>
      <c r="B20" s="20">
        <v>0</v>
      </c>
      <c r="C20" s="20">
        <v>0</v>
      </c>
      <c r="D20" s="20">
        <v>-4590</v>
      </c>
      <c r="E20" s="20">
        <v>0</v>
      </c>
      <c r="F20" s="20">
        <v>0</v>
      </c>
      <c r="G20" s="20">
        <v>0</v>
      </c>
    </row>
    <row r="21" spans="1:7" x14ac:dyDescent="0.25">
      <c r="A21" s="17" t="s">
        <v>24</v>
      </c>
      <c r="B21" s="20">
        <v>678</v>
      </c>
      <c r="C21" s="20">
        <v>3955</v>
      </c>
      <c r="D21" s="20">
        <v>1627</v>
      </c>
      <c r="E21" s="20">
        <v>2522</v>
      </c>
      <c r="F21" s="20">
        <v>1660</v>
      </c>
      <c r="G21" s="20">
        <v>4419</v>
      </c>
    </row>
    <row r="22" spans="1:7" x14ac:dyDescent="0.25">
      <c r="A22" s="17" t="s">
        <v>25</v>
      </c>
      <c r="B22" s="20">
        <v>-71419</v>
      </c>
      <c r="C22" s="20">
        <v>-93422</v>
      </c>
      <c r="D22" s="20">
        <v>-108913</v>
      </c>
      <c r="E22" s="20">
        <v>-131113</v>
      </c>
      <c r="F22" s="20">
        <v>-139806</v>
      </c>
      <c r="G22" s="20">
        <v>-147208</v>
      </c>
    </row>
    <row r="23" spans="1:7" x14ac:dyDescent="0.25">
      <c r="A23" s="21" t="s">
        <v>26</v>
      </c>
      <c r="B23" s="22">
        <f t="shared" ref="B23:G23" si="5">B17+B18+B19+B20+B21+B22</f>
        <v>-1090</v>
      </c>
      <c r="C23" s="22">
        <f t="shared" si="5"/>
        <v>4638</v>
      </c>
      <c r="D23" s="22">
        <f t="shared" si="5"/>
        <v>20009</v>
      </c>
      <c r="E23" s="22">
        <f t="shared" si="5"/>
        <v>47117</v>
      </c>
      <c r="F23" s="22">
        <f t="shared" si="5"/>
        <v>35090</v>
      </c>
      <c r="G23" s="22">
        <f t="shared" si="5"/>
        <v>24184</v>
      </c>
    </row>
    <row r="24" spans="1:7" x14ac:dyDescent="0.25">
      <c r="A24" s="17" t="s">
        <v>27</v>
      </c>
      <c r="B24" s="20">
        <v>-242</v>
      </c>
      <c r="C24" s="20">
        <v>2148</v>
      </c>
      <c r="D24" s="20">
        <v>-3551</v>
      </c>
      <c r="E24" s="20">
        <v>-11738</v>
      </c>
      <c r="F24" s="20">
        <v>-10236</v>
      </c>
      <c r="G24" s="20">
        <v>-6374</v>
      </c>
    </row>
    <row r="25" spans="1:7" x14ac:dyDescent="0.25">
      <c r="A25" s="21" t="s">
        <v>28</v>
      </c>
      <c r="B25" s="22">
        <f t="shared" ref="B25:G25" si="6">B23+B24</f>
        <v>-1332</v>
      </c>
      <c r="C25" s="22">
        <f t="shared" si="6"/>
        <v>6786</v>
      </c>
      <c r="D25" s="22">
        <f t="shared" si="6"/>
        <v>16458</v>
      </c>
      <c r="E25" s="22">
        <f t="shared" si="6"/>
        <v>35379</v>
      </c>
      <c r="F25" s="22">
        <f t="shared" si="6"/>
        <v>24854</v>
      </c>
      <c r="G25" s="22">
        <f t="shared" si="6"/>
        <v>17810</v>
      </c>
    </row>
    <row r="27" spans="1:7" x14ac:dyDescent="0.25">
      <c r="A27" s="17" t="s">
        <v>29</v>
      </c>
      <c r="B27" s="24">
        <v>-8.9</v>
      </c>
      <c r="C27" s="24">
        <v>45.2</v>
      </c>
      <c r="D27" s="24">
        <v>109.6</v>
      </c>
      <c r="E27" s="24">
        <v>222.8</v>
      </c>
      <c r="F27" s="24">
        <v>152.30000000000001</v>
      </c>
      <c r="G27" s="24">
        <v>109.1</v>
      </c>
    </row>
    <row r="28" spans="1:7" x14ac:dyDescent="0.25">
      <c r="A28" s="17" t="s">
        <v>30</v>
      </c>
      <c r="B28" s="24">
        <v>0</v>
      </c>
      <c r="C28" s="24">
        <v>38</v>
      </c>
      <c r="D28" s="24">
        <v>42</v>
      </c>
      <c r="E28" s="24">
        <v>46</v>
      </c>
      <c r="F28" s="24">
        <v>49</v>
      </c>
      <c r="G28" s="24">
        <v>53</v>
      </c>
    </row>
    <row r="29" spans="1:7" x14ac:dyDescent="0.25">
      <c r="A29" s="23" t="s">
        <v>31</v>
      </c>
      <c r="B29" s="24">
        <v>0</v>
      </c>
      <c r="C29" s="24">
        <v>21</v>
      </c>
      <c r="D29" s="24">
        <v>0</v>
      </c>
      <c r="E29" s="24">
        <v>0</v>
      </c>
      <c r="F29" s="24">
        <v>20</v>
      </c>
      <c r="G29" s="24">
        <v>0</v>
      </c>
    </row>
  </sheetData>
  <pageMargins left="0.75" right="0.75" top="1" bottom="1" header="0.511811023622047" footer="0.511811023622047"/>
  <pageSetup scale="79" fitToHeight="0"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30"/>
  <sheetViews>
    <sheetView zoomScaleNormal="100" workbookViewId="0">
      <pane xSplit="1" ySplit="4" topLeftCell="B5" activePane="bottomRight" state="frozen"/>
      <selection pane="topRight" activeCell="B1" sqref="B1"/>
      <selection pane="bottomLeft" activeCell="A5" sqref="A5"/>
      <selection pane="bottomRight"/>
    </sheetView>
  </sheetViews>
  <sheetFormatPr defaultColWidth="8.7109375" defaultRowHeight="15" x14ac:dyDescent="0.25"/>
  <cols>
    <col min="1" max="1" width="58" customWidth="1"/>
    <col min="2" max="7" width="15" customWidth="1"/>
  </cols>
  <sheetData>
    <row r="1" spans="1:7" ht="15.75" x14ac:dyDescent="0.25">
      <c r="A1" s="15" t="s">
        <v>32</v>
      </c>
    </row>
    <row r="2" spans="1:7" x14ac:dyDescent="0.25">
      <c r="A2" s="16" t="s">
        <v>33</v>
      </c>
    </row>
    <row r="4" spans="1:7" x14ac:dyDescent="0.25">
      <c r="B4" s="18" t="s">
        <v>2</v>
      </c>
      <c r="C4" s="18" t="s">
        <v>3</v>
      </c>
      <c r="D4" s="18" t="s">
        <v>4</v>
      </c>
      <c r="E4" s="18" t="s">
        <v>5</v>
      </c>
      <c r="F4" s="18" t="s">
        <v>6</v>
      </c>
      <c r="G4" s="18" t="s">
        <v>7</v>
      </c>
    </row>
    <row r="5" spans="1:7" x14ac:dyDescent="0.25">
      <c r="A5" s="19" t="s">
        <v>34</v>
      </c>
    </row>
    <row r="6" spans="1:7" x14ac:dyDescent="0.25">
      <c r="A6" s="17" t="s">
        <v>35</v>
      </c>
      <c r="B6" s="20">
        <v>636799</v>
      </c>
      <c r="C6" s="20">
        <v>814692</v>
      </c>
      <c r="D6" s="20">
        <v>732729</v>
      </c>
      <c r="E6" s="20">
        <v>826559</v>
      </c>
      <c r="F6" s="20">
        <v>911887</v>
      </c>
      <c r="G6" s="20">
        <v>437548</v>
      </c>
    </row>
    <row r="7" spans="1:7" x14ac:dyDescent="0.25">
      <c r="A7" s="17" t="s">
        <v>36</v>
      </c>
      <c r="B7" s="20">
        <v>110267</v>
      </c>
      <c r="C7" s="20">
        <v>73444</v>
      </c>
      <c r="D7" s="20">
        <v>115787</v>
      </c>
      <c r="E7" s="20">
        <v>79381</v>
      </c>
      <c r="F7" s="20">
        <v>66971</v>
      </c>
      <c r="G7" s="20">
        <v>117497</v>
      </c>
    </row>
    <row r="8" spans="1:7" x14ac:dyDescent="0.25">
      <c r="A8" s="17" t="s">
        <v>37</v>
      </c>
      <c r="B8" s="20">
        <v>344692</v>
      </c>
      <c r="C8" s="20">
        <v>301052</v>
      </c>
      <c r="D8" s="20">
        <v>439753</v>
      </c>
      <c r="E8" s="20">
        <v>942437</v>
      </c>
      <c r="F8" s="20">
        <v>1199847</v>
      </c>
      <c r="G8" s="20">
        <v>2033158</v>
      </c>
    </row>
    <row r="9" spans="1:7" x14ac:dyDescent="0.25">
      <c r="A9" s="17" t="s">
        <v>38</v>
      </c>
      <c r="B9" s="20">
        <v>1843</v>
      </c>
      <c r="C9" s="20">
        <v>1753</v>
      </c>
      <c r="D9" s="20">
        <v>6322</v>
      </c>
      <c r="E9" s="20">
        <v>4214</v>
      </c>
      <c r="F9" s="20">
        <v>2970</v>
      </c>
      <c r="G9" s="20">
        <v>1398</v>
      </c>
    </row>
    <row r="10" spans="1:7" x14ac:dyDescent="0.25">
      <c r="A10" s="17" t="s">
        <v>39</v>
      </c>
      <c r="B10" s="20">
        <v>1587849</v>
      </c>
      <c r="C10" s="20">
        <v>1870962</v>
      </c>
      <c r="D10" s="20">
        <v>2036077</v>
      </c>
      <c r="E10" s="20">
        <v>2064217</v>
      </c>
      <c r="F10" s="20">
        <v>2094212</v>
      </c>
      <c r="G10" s="20">
        <v>1960542</v>
      </c>
    </row>
    <row r="11" spans="1:7" x14ac:dyDescent="0.25">
      <c r="A11" s="17" t="s">
        <v>40</v>
      </c>
      <c r="B11" s="20">
        <v>119282</v>
      </c>
      <c r="C11" s="20">
        <v>118986</v>
      </c>
      <c r="D11" s="20">
        <v>61293</v>
      </c>
      <c r="E11" s="20">
        <v>64373</v>
      </c>
      <c r="F11" s="20">
        <v>56648</v>
      </c>
      <c r="G11" s="20">
        <v>53927</v>
      </c>
    </row>
    <row r="12" spans="1:7" x14ac:dyDescent="0.25">
      <c r="A12" s="17" t="s">
        <v>41</v>
      </c>
      <c r="B12" s="20">
        <v>23646</v>
      </c>
      <c r="C12" s="20">
        <v>29864</v>
      </c>
      <c r="D12" s="20">
        <v>32549</v>
      </c>
      <c r="E12" s="20">
        <v>29587</v>
      </c>
      <c r="F12" s="20">
        <v>30565</v>
      </c>
      <c r="G12" s="20">
        <v>33448</v>
      </c>
    </row>
    <row r="13" spans="1:7" x14ac:dyDescent="0.25">
      <c r="A13" s="17" t="s">
        <v>42</v>
      </c>
      <c r="B13" s="20">
        <v>4905</v>
      </c>
      <c r="C13" s="20">
        <v>125890</v>
      </c>
      <c r="D13" s="20">
        <v>175273</v>
      </c>
      <c r="E13" s="20">
        <v>274306</v>
      </c>
      <c r="F13" s="20">
        <v>313366</v>
      </c>
      <c r="G13" s="20">
        <v>310569</v>
      </c>
    </row>
    <row r="14" spans="1:7" x14ac:dyDescent="0.25">
      <c r="A14" s="17" t="s">
        <v>43</v>
      </c>
      <c r="B14" s="20">
        <v>17703</v>
      </c>
      <c r="C14" s="20">
        <v>15674</v>
      </c>
      <c r="D14" s="20">
        <v>7714</v>
      </c>
      <c r="E14" s="20">
        <v>52816</v>
      </c>
      <c r="F14" s="20">
        <v>47511</v>
      </c>
      <c r="G14" s="20">
        <v>44501</v>
      </c>
    </row>
    <row r="15" spans="1:7" x14ac:dyDescent="0.25">
      <c r="A15" s="17" t="s">
        <v>44</v>
      </c>
      <c r="B15" s="20">
        <v>6550</v>
      </c>
      <c r="C15" s="20">
        <v>6550</v>
      </c>
      <c r="D15" s="20">
        <v>6550</v>
      </c>
      <c r="E15" s="20">
        <v>5950</v>
      </c>
      <c r="F15" s="20">
        <v>5250</v>
      </c>
      <c r="G15" s="20">
        <v>5250</v>
      </c>
    </row>
    <row r="16" spans="1:7" x14ac:dyDescent="0.25">
      <c r="A16" s="21" t="s">
        <v>45</v>
      </c>
      <c r="B16" s="22">
        <f t="shared" ref="B16:G16" si="0">SUM(B6:B15)</f>
        <v>2853536</v>
      </c>
      <c r="C16" s="22">
        <f t="shared" si="0"/>
        <v>3358867</v>
      </c>
      <c r="D16" s="22">
        <f t="shared" si="0"/>
        <v>3614047</v>
      </c>
      <c r="E16" s="22">
        <f t="shared" si="0"/>
        <v>4343840</v>
      </c>
      <c r="F16" s="22">
        <f t="shared" si="0"/>
        <v>4729227</v>
      </c>
      <c r="G16" s="22">
        <f t="shared" si="0"/>
        <v>4997838</v>
      </c>
    </row>
    <row r="18" spans="1:7" x14ac:dyDescent="0.25">
      <c r="A18" s="19" t="s">
        <v>46</v>
      </c>
    </row>
    <row r="19" spans="1:7" x14ac:dyDescent="0.25">
      <c r="A19" s="17" t="s">
        <v>47</v>
      </c>
      <c r="B19" s="20">
        <v>154</v>
      </c>
      <c r="C19" s="20">
        <v>154</v>
      </c>
      <c r="D19" s="20">
        <v>154</v>
      </c>
      <c r="E19" s="20">
        <v>11773</v>
      </c>
      <c r="F19" s="20">
        <v>11773</v>
      </c>
      <c r="G19" s="20">
        <v>11773</v>
      </c>
    </row>
    <row r="20" spans="1:7" x14ac:dyDescent="0.25">
      <c r="A20" s="17" t="s">
        <v>48</v>
      </c>
      <c r="B20" s="20">
        <v>207839</v>
      </c>
      <c r="C20" s="20">
        <v>201026</v>
      </c>
      <c r="D20" s="20">
        <v>212037</v>
      </c>
      <c r="E20" s="20">
        <v>240606</v>
      </c>
      <c r="F20" s="20">
        <v>254575</v>
      </c>
      <c r="G20" s="20">
        <v>265738</v>
      </c>
    </row>
    <row r="21" spans="1:7" x14ac:dyDescent="0.25">
      <c r="A21" s="17" t="s">
        <v>49</v>
      </c>
      <c r="B21" s="20">
        <v>-13970</v>
      </c>
      <c r="C21" s="20">
        <v>-301</v>
      </c>
      <c r="D21" s="20">
        <v>-213</v>
      </c>
      <c r="E21" s="20">
        <v>61</v>
      </c>
      <c r="F21" s="20">
        <v>608</v>
      </c>
      <c r="G21" s="20">
        <v>-1113</v>
      </c>
    </row>
    <row r="22" spans="1:7" x14ac:dyDescent="0.25">
      <c r="A22" s="21" t="s">
        <v>50</v>
      </c>
      <c r="B22" s="22">
        <f t="shared" ref="B22:G22" si="1">SUM(B19:B21)</f>
        <v>194023</v>
      </c>
      <c r="C22" s="22">
        <f t="shared" si="1"/>
        <v>200879</v>
      </c>
      <c r="D22" s="22">
        <f t="shared" si="1"/>
        <v>211978</v>
      </c>
      <c r="E22" s="22">
        <f t="shared" si="1"/>
        <v>252440</v>
      </c>
      <c r="F22" s="22">
        <f t="shared" si="1"/>
        <v>266956</v>
      </c>
      <c r="G22" s="22">
        <f t="shared" si="1"/>
        <v>276398</v>
      </c>
    </row>
    <row r="23" spans="1:7" x14ac:dyDescent="0.25">
      <c r="A23" s="17" t="s">
        <v>51</v>
      </c>
      <c r="B23" s="20">
        <v>230090</v>
      </c>
      <c r="C23" s="20">
        <v>240333</v>
      </c>
      <c r="D23" s="20">
        <v>236027</v>
      </c>
      <c r="E23" s="20">
        <v>193410</v>
      </c>
      <c r="F23" s="20">
        <v>192911</v>
      </c>
      <c r="G23" s="20">
        <v>1389</v>
      </c>
    </row>
    <row r="24" spans="1:7" x14ac:dyDescent="0.25">
      <c r="A24" s="17" t="s">
        <v>52</v>
      </c>
      <c r="B24" s="20">
        <v>2365207</v>
      </c>
      <c r="C24" s="20">
        <v>2837869</v>
      </c>
      <c r="D24" s="20">
        <v>3092549</v>
      </c>
      <c r="E24" s="20">
        <v>3759567</v>
      </c>
      <c r="F24" s="20">
        <v>4132493</v>
      </c>
      <c r="G24" s="20">
        <v>4570365</v>
      </c>
    </row>
    <row r="25" spans="1:7" x14ac:dyDescent="0.25">
      <c r="A25" s="17" t="s">
        <v>53</v>
      </c>
      <c r="B25" s="20">
        <v>18305</v>
      </c>
      <c r="C25" s="20">
        <v>16214</v>
      </c>
      <c r="D25" s="20">
        <v>7872</v>
      </c>
      <c r="E25" s="20">
        <v>53761</v>
      </c>
      <c r="F25" s="20">
        <v>54829</v>
      </c>
      <c r="G25" s="20">
        <v>58267</v>
      </c>
    </row>
    <row r="26" spans="1:7" x14ac:dyDescent="0.25">
      <c r="A26" s="17" t="s">
        <v>54</v>
      </c>
      <c r="B26" s="20">
        <v>37656</v>
      </c>
      <c r="C26" s="20">
        <v>36772</v>
      </c>
      <c r="D26" s="20">
        <v>37594</v>
      </c>
      <c r="E26" s="20">
        <v>37726</v>
      </c>
      <c r="F26" s="20">
        <v>37982</v>
      </c>
      <c r="G26" s="20">
        <v>38672</v>
      </c>
    </row>
    <row r="27" spans="1:7" x14ac:dyDescent="0.25">
      <c r="A27" s="17" t="s">
        <v>55</v>
      </c>
      <c r="B27" s="20">
        <v>8255</v>
      </c>
      <c r="C27" s="20">
        <v>26800</v>
      </c>
      <c r="D27" s="20">
        <v>28027</v>
      </c>
      <c r="E27" s="20">
        <v>46936</v>
      </c>
      <c r="F27" s="20">
        <v>44056</v>
      </c>
      <c r="G27" s="20">
        <v>52747</v>
      </c>
    </row>
    <row r="28" spans="1:7" x14ac:dyDescent="0.25">
      <c r="A28" s="21" t="s">
        <v>56</v>
      </c>
      <c r="B28" s="22">
        <f t="shared" ref="B28:G28" si="2">SUM(B23:B27)</f>
        <v>2659513</v>
      </c>
      <c r="C28" s="22">
        <f t="shared" si="2"/>
        <v>3157988</v>
      </c>
      <c r="D28" s="22">
        <f t="shared" si="2"/>
        <v>3402069</v>
      </c>
      <c r="E28" s="22">
        <f t="shared" si="2"/>
        <v>4091400</v>
      </c>
      <c r="F28" s="22">
        <f t="shared" si="2"/>
        <v>4462271</v>
      </c>
      <c r="G28" s="22">
        <f t="shared" si="2"/>
        <v>4721440</v>
      </c>
    </row>
    <row r="29" spans="1:7" x14ac:dyDescent="0.25">
      <c r="A29" s="21" t="s">
        <v>57</v>
      </c>
      <c r="B29" s="22">
        <f t="shared" ref="B29:G29" si="3">B22+B28</f>
        <v>2853536</v>
      </c>
      <c r="C29" s="22">
        <f t="shared" si="3"/>
        <v>3358867</v>
      </c>
      <c r="D29" s="22">
        <f t="shared" si="3"/>
        <v>3614047</v>
      </c>
      <c r="E29" s="22">
        <f t="shared" si="3"/>
        <v>4343840</v>
      </c>
      <c r="F29" s="22">
        <f t="shared" si="3"/>
        <v>4729227</v>
      </c>
      <c r="G29" s="22">
        <f t="shared" si="3"/>
        <v>4997838</v>
      </c>
    </row>
    <row r="30" spans="1:7" x14ac:dyDescent="0.25">
      <c r="A30" s="25" t="s">
        <v>58</v>
      </c>
      <c r="B30" s="16" t="str">
        <f t="shared" ref="B30:G30" si="4">IF(ROUND(B16-B29,0)=0,"OK","MISMATCH")</f>
        <v>OK</v>
      </c>
      <c r="C30" s="16" t="str">
        <f t="shared" si="4"/>
        <v>OK</v>
      </c>
      <c r="D30" s="16" t="str">
        <f t="shared" si="4"/>
        <v>OK</v>
      </c>
      <c r="E30" s="16" t="str">
        <f t="shared" si="4"/>
        <v>OK</v>
      </c>
      <c r="F30" s="16" t="str">
        <f t="shared" si="4"/>
        <v>OK</v>
      </c>
      <c r="G30" s="16" t="str">
        <f t="shared" si="4"/>
        <v>OK</v>
      </c>
    </row>
  </sheetData>
  <pageMargins left="0.75" right="0.75" top="1" bottom="1" header="0.511811023622047" footer="0.511811023622047"/>
  <pageSetup scale="81" fitToHeight="0" orientation="landscape" horizontalDpi="300"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16"/>
  <sheetViews>
    <sheetView zoomScaleNormal="100" workbookViewId="0">
      <pane xSplit="1" ySplit="4" topLeftCell="B5" activePane="bottomRight" state="frozen"/>
      <selection pane="topRight" activeCell="B1" sqref="B1"/>
      <selection pane="bottomLeft" activeCell="A5" sqref="A5"/>
      <selection pane="bottomRight"/>
    </sheetView>
  </sheetViews>
  <sheetFormatPr defaultColWidth="8.7109375" defaultRowHeight="15" x14ac:dyDescent="0.25"/>
  <cols>
    <col min="1" max="1" width="62" customWidth="1"/>
    <col min="2" max="7" width="15" customWidth="1"/>
  </cols>
  <sheetData>
    <row r="1" spans="1:7" ht="15.75" x14ac:dyDescent="0.25">
      <c r="A1" s="15" t="s">
        <v>59</v>
      </c>
    </row>
    <row r="2" spans="1:7" x14ac:dyDescent="0.25">
      <c r="A2" s="16" t="s">
        <v>60</v>
      </c>
    </row>
    <row r="4" spans="1:7" x14ac:dyDescent="0.25">
      <c r="B4" s="18" t="s">
        <v>2</v>
      </c>
      <c r="C4" s="18" t="s">
        <v>3</v>
      </c>
      <c r="D4" s="18" t="s">
        <v>4</v>
      </c>
      <c r="E4" s="18" t="s">
        <v>5</v>
      </c>
      <c r="F4" s="18" t="s">
        <v>6</v>
      </c>
      <c r="G4" s="18" t="s">
        <v>7</v>
      </c>
    </row>
    <row r="5" spans="1:7" x14ac:dyDescent="0.25">
      <c r="A5" s="21" t="s">
        <v>61</v>
      </c>
      <c r="B5" s="26">
        <v>287160</v>
      </c>
      <c r="C5" s="27">
        <v>229120</v>
      </c>
      <c r="D5" s="27">
        <v>113783</v>
      </c>
      <c r="E5" s="27">
        <v>617497</v>
      </c>
      <c r="F5" s="27">
        <v>369159</v>
      </c>
      <c r="G5" s="27">
        <v>625534</v>
      </c>
    </row>
    <row r="6" spans="1:7" x14ac:dyDescent="0.25">
      <c r="A6" s="21" t="s">
        <v>62</v>
      </c>
      <c r="B6" s="27">
        <v>88156</v>
      </c>
      <c r="C6" s="27">
        <v>38076</v>
      </c>
      <c r="D6" s="27">
        <v>-135779</v>
      </c>
      <c r="E6" s="27">
        <v>-518132</v>
      </c>
      <c r="F6" s="27">
        <v>-282867</v>
      </c>
      <c r="G6" s="27">
        <v>-848739</v>
      </c>
    </row>
    <row r="7" spans="1:7" x14ac:dyDescent="0.25">
      <c r="A7" s="21" t="s">
        <v>63</v>
      </c>
      <c r="B7" s="27">
        <v>-416</v>
      </c>
      <c r="C7" s="27">
        <v>-126126</v>
      </c>
      <c r="D7" s="27">
        <v>-17624</v>
      </c>
      <c r="E7" s="27">
        <v>-41941</v>
      </c>
      <c r="F7" s="27">
        <v>-13374</v>
      </c>
      <c r="G7" s="27">
        <v>-200608</v>
      </c>
    </row>
    <row r="8" spans="1:7" x14ac:dyDescent="0.25">
      <c r="A8" s="21" t="s">
        <v>64</v>
      </c>
      <c r="B8" s="22">
        <f t="shared" ref="B8:G8" si="0">B5+B6+B7</f>
        <v>374900</v>
      </c>
      <c r="C8" s="22">
        <f t="shared" si="0"/>
        <v>141070</v>
      </c>
      <c r="D8" s="22">
        <f t="shared" si="0"/>
        <v>-39620</v>
      </c>
      <c r="E8" s="22">
        <f t="shared" si="0"/>
        <v>57424</v>
      </c>
      <c r="F8" s="22">
        <f t="shared" si="0"/>
        <v>72918</v>
      </c>
      <c r="G8" s="22">
        <f t="shared" si="0"/>
        <v>-423813</v>
      </c>
    </row>
    <row r="10" spans="1:7" x14ac:dyDescent="0.25">
      <c r="A10" s="17" t="s">
        <v>65</v>
      </c>
      <c r="B10" s="20"/>
      <c r="C10" s="20">
        <v>905940</v>
      </c>
      <c r="D10" s="20"/>
      <c r="E10" s="20"/>
      <c r="F10" s="20">
        <v>905940</v>
      </c>
      <c r="G10" s="20">
        <v>978858</v>
      </c>
    </row>
    <row r="11" spans="1:7" x14ac:dyDescent="0.25">
      <c r="A11" s="17" t="s">
        <v>66</v>
      </c>
      <c r="B11" s="20"/>
      <c r="C11" s="20">
        <v>978858</v>
      </c>
      <c r="D11" s="20"/>
      <c r="E11" s="20"/>
      <c r="F11" s="20">
        <v>978858</v>
      </c>
      <c r="G11" s="20">
        <v>555045</v>
      </c>
    </row>
    <row r="13" spans="1:7" x14ac:dyDescent="0.25">
      <c r="A13" s="17" t="s">
        <v>67</v>
      </c>
      <c r="B13" s="20"/>
      <c r="C13" s="20"/>
      <c r="D13" s="20"/>
      <c r="E13" s="20"/>
      <c r="F13" s="20">
        <v>-10934</v>
      </c>
      <c r="G13" s="20">
        <v>-8324</v>
      </c>
    </row>
    <row r="14" spans="1:7" x14ac:dyDescent="0.25">
      <c r="A14" s="17" t="s">
        <v>68</v>
      </c>
      <c r="B14" s="20"/>
      <c r="C14" s="20">
        <v>-23204</v>
      </c>
      <c r="D14" s="20"/>
      <c r="E14" s="20">
        <v>-4846</v>
      </c>
      <c r="F14" s="20">
        <v>-23204</v>
      </c>
      <c r="G14" s="20">
        <v>-1102</v>
      </c>
    </row>
    <row r="16" spans="1:7" ht="27.75" customHeight="1" x14ac:dyDescent="0.25">
      <c r="A16" s="14" t="s">
        <v>69</v>
      </c>
      <c r="B16" s="14"/>
      <c r="C16" s="14"/>
      <c r="D16" s="14"/>
      <c r="E16" s="14"/>
      <c r="F16" s="14"/>
      <c r="G16" s="14"/>
    </row>
  </sheetData>
  <mergeCells count="1">
    <mergeCell ref="A16:G16"/>
  </mergeCells>
  <pageMargins left="0.75" right="0.75" top="1" bottom="1" header="0.511811023622047" footer="0.511811023622047"/>
  <pageSetup scale="71" fitToHeight="0" orientation="landscape" horizontalDpi="300" verticalDpi="3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26"/>
  <sheetViews>
    <sheetView zoomScaleNormal="100" workbookViewId="0">
      <pane xSplit="1" ySplit="4" topLeftCell="B5" activePane="bottomRight" state="frozen"/>
      <selection pane="topRight" activeCell="B1" sqref="B1"/>
      <selection pane="bottomLeft" activeCell="A5" sqref="A5"/>
      <selection pane="bottomRight"/>
    </sheetView>
  </sheetViews>
  <sheetFormatPr defaultColWidth="8.7109375" defaultRowHeight="15" x14ac:dyDescent="0.25"/>
  <cols>
    <col min="1" max="1" width="56" customWidth="1"/>
    <col min="2" max="7" width="15" customWidth="1"/>
  </cols>
  <sheetData>
    <row r="1" spans="1:7" ht="15.75" x14ac:dyDescent="0.25">
      <c r="A1" s="15" t="s">
        <v>70</v>
      </c>
    </row>
    <row r="2" spans="1:7" x14ac:dyDescent="0.25">
      <c r="A2" s="16" t="s">
        <v>71</v>
      </c>
    </row>
    <row r="4" spans="1:7" x14ac:dyDescent="0.25">
      <c r="B4" s="18" t="s">
        <v>2</v>
      </c>
      <c r="C4" s="18" t="s">
        <v>3</v>
      </c>
      <c r="D4" s="18" t="s">
        <v>4</v>
      </c>
      <c r="E4" s="18" t="s">
        <v>5</v>
      </c>
      <c r="F4" s="18" t="s">
        <v>6</v>
      </c>
      <c r="G4" s="18" t="s">
        <v>7</v>
      </c>
    </row>
    <row r="5" spans="1:7" x14ac:dyDescent="0.25">
      <c r="A5" s="21" t="s">
        <v>72</v>
      </c>
      <c r="B5" s="28">
        <v>0.154</v>
      </c>
      <c r="C5" s="28">
        <v>0.123</v>
      </c>
      <c r="D5" s="28">
        <v>0.1157</v>
      </c>
      <c r="E5" s="28">
        <v>0.1298</v>
      </c>
      <c r="F5" s="28">
        <v>0.13150000000000001</v>
      </c>
      <c r="G5" s="28">
        <v>0.1326</v>
      </c>
    </row>
    <row r="6" spans="1:7" x14ac:dyDescent="0.25">
      <c r="A6" s="17" t="s">
        <v>73</v>
      </c>
      <c r="B6" s="29">
        <v>0.187</v>
      </c>
      <c r="C6" s="29">
        <v>0.14899999999999999</v>
      </c>
      <c r="D6" s="29">
        <v>0.14050000000000001</v>
      </c>
      <c r="E6" s="29">
        <v>0.15179999999999999</v>
      </c>
      <c r="F6" s="29">
        <v>0.15279999999999999</v>
      </c>
      <c r="G6" s="29">
        <v>0.15379999999999999</v>
      </c>
    </row>
    <row r="7" spans="1:7" x14ac:dyDescent="0.25">
      <c r="A7" s="17" t="s">
        <v>74</v>
      </c>
      <c r="B7" s="29"/>
      <c r="C7" s="29"/>
      <c r="D7" s="29">
        <v>0.06</v>
      </c>
      <c r="E7" s="29">
        <v>6.2399999999999997E-2</v>
      </c>
      <c r="F7" s="29">
        <v>6.1199999999999997E-2</v>
      </c>
      <c r="G7" s="29">
        <v>5.2900000000000003E-2</v>
      </c>
    </row>
    <row r="8" spans="1:7" x14ac:dyDescent="0.25">
      <c r="A8" s="17" t="s">
        <v>75</v>
      </c>
      <c r="B8" s="30">
        <v>1169.5</v>
      </c>
      <c r="C8" s="30">
        <v>1427.7</v>
      </c>
      <c r="D8" s="30">
        <v>1516.1</v>
      </c>
      <c r="E8" s="30">
        <v>1713.1</v>
      </c>
      <c r="F8" s="30">
        <v>1782.6</v>
      </c>
      <c r="G8" s="30">
        <v>1822.6</v>
      </c>
    </row>
    <row r="10" spans="1:7" x14ac:dyDescent="0.25">
      <c r="A10" s="21" t="s">
        <v>76</v>
      </c>
      <c r="B10" s="28"/>
      <c r="C10" s="28"/>
      <c r="D10" s="28">
        <v>5.0999999999999997E-2</v>
      </c>
      <c r="E10" s="28">
        <v>5.7000000000000002E-2</v>
      </c>
      <c r="F10" s="28">
        <v>5.0999999999999997E-2</v>
      </c>
      <c r="G10" s="28">
        <v>4.7E-2</v>
      </c>
    </row>
    <row r="12" spans="1:7" x14ac:dyDescent="0.25">
      <c r="A12" s="21" t="s">
        <v>77</v>
      </c>
      <c r="B12" s="28"/>
      <c r="C12" s="28"/>
      <c r="D12" s="28">
        <v>0.79</v>
      </c>
      <c r="E12" s="28">
        <v>0.73</v>
      </c>
      <c r="F12" s="28">
        <v>0.78</v>
      </c>
      <c r="G12" s="28">
        <v>0.87</v>
      </c>
    </row>
    <row r="13" spans="1:7" x14ac:dyDescent="0.25">
      <c r="A13" s="23" t="s">
        <v>78</v>
      </c>
      <c r="B13" s="30">
        <v>0.98499999999999999</v>
      </c>
      <c r="C13" s="30">
        <v>1.054</v>
      </c>
      <c r="D13" s="30"/>
      <c r="E13" s="30"/>
      <c r="F13" s="30"/>
      <c r="G13" s="30"/>
    </row>
    <row r="15" spans="1:7" x14ac:dyDescent="0.25">
      <c r="A15" s="21" t="s">
        <v>79</v>
      </c>
      <c r="B15" s="28"/>
      <c r="C15" s="28"/>
      <c r="D15" s="28">
        <v>0.1</v>
      </c>
      <c r="E15" s="28">
        <v>0.18160000000000001</v>
      </c>
      <c r="F15" s="28">
        <v>0.10630000000000001</v>
      </c>
      <c r="G15" s="28">
        <v>7.7600000000000002E-2</v>
      </c>
    </row>
    <row r="17" spans="1:7" x14ac:dyDescent="0.25">
      <c r="A17" s="17" t="s">
        <v>80</v>
      </c>
      <c r="B17" s="30">
        <v>2853.5</v>
      </c>
      <c r="C17" s="30">
        <v>3358.9</v>
      </c>
      <c r="D17" s="30">
        <v>3614</v>
      </c>
      <c r="E17" s="30">
        <v>4343.8</v>
      </c>
      <c r="F17" s="30">
        <v>4729.2</v>
      </c>
      <c r="G17" s="30">
        <v>4997.8</v>
      </c>
    </row>
    <row r="18" spans="1:7" x14ac:dyDescent="0.25">
      <c r="A18" s="17" t="s">
        <v>81</v>
      </c>
      <c r="B18" s="30">
        <v>1587.8</v>
      </c>
      <c r="C18" s="30">
        <v>1871</v>
      </c>
      <c r="D18" s="30">
        <v>2036.1</v>
      </c>
      <c r="E18" s="30">
        <v>2064.1999999999998</v>
      </c>
      <c r="F18" s="30">
        <v>2094.1999999999998</v>
      </c>
      <c r="G18" s="30">
        <v>1960.5</v>
      </c>
    </row>
    <row r="19" spans="1:7" x14ac:dyDescent="0.25">
      <c r="A19" s="17" t="s">
        <v>82</v>
      </c>
      <c r="B19" s="30">
        <v>2365.1999999999998</v>
      </c>
      <c r="C19" s="30">
        <v>2837.9</v>
      </c>
      <c r="D19" s="30">
        <v>3092.5</v>
      </c>
      <c r="E19" s="30">
        <v>3759.6</v>
      </c>
      <c r="F19" s="30">
        <v>4132.5</v>
      </c>
      <c r="G19" s="30">
        <v>4570.3999999999996</v>
      </c>
    </row>
    <row r="20" spans="1:7" x14ac:dyDescent="0.25">
      <c r="A20" s="17" t="s">
        <v>83</v>
      </c>
      <c r="B20" s="31">
        <f t="shared" ref="B20:G20" si="0">B18/B19</f>
        <v>0.67131743615761885</v>
      </c>
      <c r="C20" s="31">
        <f t="shared" si="0"/>
        <v>0.65929032030726942</v>
      </c>
      <c r="D20" s="31">
        <f t="shared" si="0"/>
        <v>0.65839935327405008</v>
      </c>
      <c r="E20" s="31">
        <f t="shared" si="0"/>
        <v>0.54904777103947222</v>
      </c>
      <c r="F20" s="31">
        <f t="shared" si="0"/>
        <v>0.50676346037507558</v>
      </c>
      <c r="G20" s="31">
        <f t="shared" si="0"/>
        <v>0.42895589007526697</v>
      </c>
    </row>
    <row r="21" spans="1:7" x14ac:dyDescent="0.25">
      <c r="A21" s="17" t="s">
        <v>84</v>
      </c>
      <c r="B21" s="29"/>
      <c r="C21" s="29"/>
      <c r="D21" s="29">
        <v>6.1000000000000004E-3</v>
      </c>
      <c r="E21" s="29">
        <v>2.4299999999999999E-2</v>
      </c>
      <c r="F21" s="29">
        <v>3.15E-2</v>
      </c>
      <c r="G21" s="29">
        <v>2.6499999999999999E-2</v>
      </c>
    </row>
    <row r="23" spans="1:7" x14ac:dyDescent="0.25">
      <c r="A23" s="21" t="s">
        <v>85</v>
      </c>
      <c r="B23" s="32">
        <v>1269.8</v>
      </c>
      <c r="C23" s="32">
        <v>1314.7</v>
      </c>
      <c r="D23" s="32">
        <v>1411.1</v>
      </c>
      <c r="E23" s="32">
        <v>1546.8</v>
      </c>
      <c r="F23" s="32">
        <v>1635.8</v>
      </c>
      <c r="G23" s="32">
        <v>1693.6</v>
      </c>
    </row>
    <row r="24" spans="1:7" x14ac:dyDescent="0.25">
      <c r="A24" s="21" t="s">
        <v>86</v>
      </c>
      <c r="B24" s="33">
        <f>B23*('Balance Sheet'!B22-'Balance Sheet'!B12)/'Balance Sheet'!B22</f>
        <v>1115.046744973534</v>
      </c>
      <c r="C24" s="33">
        <f>C23*('Balance Sheet'!C22-'Balance Sheet'!C12)/'Balance Sheet'!C22</f>
        <v>1119.2480075070066</v>
      </c>
      <c r="D24" s="33">
        <f>D23*('Balance Sheet'!D22-'Balance Sheet'!D12)/'Balance Sheet'!D22</f>
        <v>1194.4270721489966</v>
      </c>
      <c r="E24" s="33">
        <f>E23*('Balance Sheet'!E22-'Balance Sheet'!E12)/'Balance Sheet'!E22</f>
        <v>1365.5087165266993</v>
      </c>
      <c r="F24" s="33">
        <f>F23*('Balance Sheet'!F22-'Balance Sheet'!F12)/'Balance Sheet'!F22</f>
        <v>1448.5098585534695</v>
      </c>
      <c r="G24" s="33">
        <f>G23*('Balance Sheet'!G22-'Balance Sheet'!G12)/'Balance Sheet'!G22</f>
        <v>1488.6508585445627</v>
      </c>
    </row>
    <row r="26" spans="1:7" x14ac:dyDescent="0.25">
      <c r="A26" s="34" t="s">
        <v>87</v>
      </c>
    </row>
  </sheetData>
  <pageMargins left="0.75" right="0.75" top="1" bottom="1" header="0.511811023622047" footer="0.511811023622047"/>
  <pageSetup scale="48" fitToHeight="0" orientation="landscape" horizontalDpi="300" verticalDpi="300"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H18"/>
  <sheetViews>
    <sheetView zoomScaleNormal="100" workbookViewId="0">
      <pane ySplit="4" topLeftCell="A9" activePane="bottomLeft" state="frozen"/>
      <selection pane="bottomLeft"/>
    </sheetView>
  </sheetViews>
  <sheetFormatPr defaultColWidth="8.7109375" defaultRowHeight="15" x14ac:dyDescent="0.25"/>
  <cols>
    <col min="1" max="1" width="14" customWidth="1"/>
    <col min="2" max="3" width="12" customWidth="1"/>
    <col min="4" max="4" width="16" customWidth="1"/>
    <col min="5" max="5" width="90" customWidth="1"/>
  </cols>
  <sheetData>
    <row r="1" spans="1:8" ht="15.75" x14ac:dyDescent="0.25">
      <c r="A1" s="15" t="s">
        <v>88</v>
      </c>
    </row>
    <row r="2" spans="1:8" ht="27.75" customHeight="1" x14ac:dyDescent="0.25">
      <c r="A2" s="13" t="s">
        <v>89</v>
      </c>
      <c r="B2" s="13"/>
      <c r="C2" s="13"/>
      <c r="D2" s="13"/>
      <c r="E2" s="13"/>
      <c r="F2" s="13"/>
      <c r="G2" s="13"/>
      <c r="H2" s="13"/>
    </row>
    <row r="4" spans="1:8" ht="30" customHeight="1" x14ac:dyDescent="0.25">
      <c r="A4" s="35" t="s">
        <v>90</v>
      </c>
      <c r="B4" s="35" t="s">
        <v>91</v>
      </c>
      <c r="C4" s="35" t="s">
        <v>92</v>
      </c>
      <c r="D4" s="35" t="s">
        <v>93</v>
      </c>
      <c r="E4" s="35" t="s">
        <v>94</v>
      </c>
    </row>
    <row r="5" spans="1:8" ht="144.75" customHeight="1" x14ac:dyDescent="0.25">
      <c r="A5" s="36" t="s">
        <v>2</v>
      </c>
      <c r="B5" s="37">
        <v>4</v>
      </c>
      <c r="C5" s="37">
        <v>7</v>
      </c>
      <c r="D5" s="38">
        <v>-1.1000000000000001</v>
      </c>
      <c r="E5" s="39" t="s">
        <v>95</v>
      </c>
    </row>
    <row r="6" spans="1:8" ht="144.75" customHeight="1" x14ac:dyDescent="0.25">
      <c r="A6" s="36" t="s">
        <v>3</v>
      </c>
      <c r="B6" s="37">
        <v>6</v>
      </c>
      <c r="C6" s="37">
        <v>7</v>
      </c>
      <c r="D6" s="38">
        <v>4.5999999999999996</v>
      </c>
      <c r="E6" s="39" t="s">
        <v>96</v>
      </c>
    </row>
    <row r="7" spans="1:8" ht="144.75" customHeight="1" x14ac:dyDescent="0.25">
      <c r="A7" s="36" t="s">
        <v>4</v>
      </c>
      <c r="B7" s="37">
        <v>7</v>
      </c>
      <c r="C7" s="37">
        <v>8</v>
      </c>
      <c r="D7" s="38">
        <v>20</v>
      </c>
      <c r="E7" s="39" t="s">
        <v>97</v>
      </c>
    </row>
    <row r="8" spans="1:8" ht="144.75" customHeight="1" x14ac:dyDescent="0.25">
      <c r="A8" s="36" t="s">
        <v>5</v>
      </c>
      <c r="B8" s="37">
        <v>8</v>
      </c>
      <c r="C8" s="37">
        <v>8</v>
      </c>
      <c r="D8" s="38">
        <v>47.1</v>
      </c>
      <c r="E8" s="39" t="s">
        <v>98</v>
      </c>
    </row>
    <row r="9" spans="1:8" ht="144.75" customHeight="1" x14ac:dyDescent="0.25">
      <c r="A9" s="36" t="s">
        <v>6</v>
      </c>
      <c r="B9" s="37">
        <v>6</v>
      </c>
      <c r="C9" s="37">
        <v>8</v>
      </c>
      <c r="D9" s="38">
        <v>35.1</v>
      </c>
      <c r="E9" s="39" t="s">
        <v>99</v>
      </c>
    </row>
    <row r="10" spans="1:8" ht="144.75" customHeight="1" x14ac:dyDescent="0.25">
      <c r="A10" s="36" t="s">
        <v>7</v>
      </c>
      <c r="B10" s="37">
        <v>6</v>
      </c>
      <c r="C10" s="37">
        <v>8</v>
      </c>
      <c r="D10" s="38">
        <v>24.2</v>
      </c>
      <c r="E10" s="39" t="s">
        <v>100</v>
      </c>
    </row>
    <row r="12" spans="1:8" x14ac:dyDescent="0.25">
      <c r="A12" s="40" t="s">
        <v>101</v>
      </c>
    </row>
    <row r="13" spans="1:8" ht="48" customHeight="1" x14ac:dyDescent="0.25">
      <c r="A13" s="12" t="s">
        <v>102</v>
      </c>
      <c r="B13" s="12"/>
      <c r="C13" s="12"/>
      <c r="D13" s="12"/>
      <c r="E13" s="12"/>
    </row>
    <row r="15" spans="1:8" x14ac:dyDescent="0.25">
      <c r="A15" s="42" t="s">
        <v>103</v>
      </c>
    </row>
    <row r="16" spans="1:8" ht="48" customHeight="1" x14ac:dyDescent="0.25">
      <c r="A16" s="11" t="s">
        <v>104</v>
      </c>
      <c r="B16" s="11"/>
      <c r="C16" s="11"/>
      <c r="D16" s="11"/>
      <c r="E16" s="11"/>
    </row>
    <row r="17" spans="1:5" ht="48" customHeight="1" x14ac:dyDescent="0.25">
      <c r="A17" s="11" t="s">
        <v>105</v>
      </c>
      <c r="B17" s="11"/>
      <c r="C17" s="11"/>
      <c r="D17" s="11"/>
      <c r="E17" s="11"/>
    </row>
    <row r="18" spans="1:5" ht="48" customHeight="1" x14ac:dyDescent="0.25">
      <c r="A18" s="11" t="s">
        <v>106</v>
      </c>
      <c r="B18" s="11"/>
      <c r="C18" s="11"/>
      <c r="D18" s="11"/>
      <c r="E18" s="11"/>
    </row>
  </sheetData>
  <mergeCells count="5">
    <mergeCell ref="A2:H2"/>
    <mergeCell ref="A13:E13"/>
    <mergeCell ref="A16:E16"/>
    <mergeCell ref="A17:E17"/>
    <mergeCell ref="A18:E18"/>
  </mergeCells>
  <pageMargins left="0.75" right="0.75" top="1" bottom="1" header="0.511811023622047" footer="0.511811023622047"/>
  <pageSetup scale="71" fitToHeight="0" orientation="landscape" horizontalDpi="300" verticalDpi="30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81"/>
  <sheetViews>
    <sheetView zoomScaleNormal="100" workbookViewId="0"/>
  </sheetViews>
  <sheetFormatPr defaultColWidth="8.7109375" defaultRowHeight="15" x14ac:dyDescent="0.25"/>
  <cols>
    <col min="1" max="1" width="46" customWidth="1"/>
    <col min="2" max="2" width="16" customWidth="1"/>
    <col min="3" max="3" width="14" customWidth="1"/>
    <col min="4" max="4" width="15" customWidth="1"/>
    <col min="5" max="5" width="46" customWidth="1"/>
    <col min="6" max="6" width="16" customWidth="1"/>
  </cols>
  <sheetData>
    <row r="1" spans="1:6" ht="15.75" x14ac:dyDescent="0.25">
      <c r="A1" s="15" t="s">
        <v>107</v>
      </c>
    </row>
    <row r="2" spans="1:6" ht="39.75" customHeight="1" x14ac:dyDescent="0.25">
      <c r="A2" s="10" t="s">
        <v>108</v>
      </c>
      <c r="B2" s="10"/>
      <c r="C2" s="10"/>
      <c r="D2" s="10"/>
      <c r="E2" s="10"/>
      <c r="F2" s="10"/>
    </row>
    <row r="4" spans="1:6" x14ac:dyDescent="0.25">
      <c r="A4" s="9" t="s">
        <v>109</v>
      </c>
      <c r="B4" s="9"/>
      <c r="C4" s="9"/>
      <c r="D4" s="9"/>
      <c r="E4" s="9"/>
      <c r="F4" s="9"/>
    </row>
    <row r="5" spans="1:6" x14ac:dyDescent="0.25">
      <c r="A5" s="17" t="s">
        <v>110</v>
      </c>
      <c r="B5" s="44">
        <f>'Bank KPIs'!G24</f>
        <v>1488.6508585445627</v>
      </c>
    </row>
    <row r="6" spans="1:6" x14ac:dyDescent="0.25">
      <c r="A6" s="45" t="s">
        <v>111</v>
      </c>
      <c r="B6" s="46">
        <f>'Bank KPIs'!G23</f>
        <v>1693.6</v>
      </c>
    </row>
    <row r="8" spans="1:6" x14ac:dyDescent="0.25">
      <c r="A8" s="9" t="s">
        <v>112</v>
      </c>
      <c r="B8" s="9"/>
      <c r="C8" s="9"/>
      <c r="D8" s="9"/>
      <c r="E8" s="9"/>
      <c r="F8" s="9"/>
    </row>
    <row r="9" spans="1:6" ht="25.5" customHeight="1" x14ac:dyDescent="0.25">
      <c r="A9" s="47" t="s">
        <v>113</v>
      </c>
      <c r="B9" s="47" t="s">
        <v>114</v>
      </c>
      <c r="C9" s="47" t="s">
        <v>115</v>
      </c>
      <c r="D9" s="47" t="s">
        <v>116</v>
      </c>
      <c r="E9" s="47" t="s">
        <v>117</v>
      </c>
    </row>
    <row r="10" spans="1:6" ht="60" customHeight="1" x14ac:dyDescent="0.25">
      <c r="A10" s="17" t="s">
        <v>118</v>
      </c>
      <c r="B10" s="48">
        <v>0.08</v>
      </c>
      <c r="C10" s="48">
        <v>0.1</v>
      </c>
      <c r="D10" s="48">
        <v>0.12</v>
      </c>
      <c r="E10" s="49" t="s">
        <v>119</v>
      </c>
    </row>
    <row r="11" spans="1:6" ht="60" customHeight="1" x14ac:dyDescent="0.25">
      <c r="A11" s="17" t="s">
        <v>120</v>
      </c>
      <c r="B11" s="48">
        <v>0.11</v>
      </c>
      <c r="C11" s="48">
        <v>0.105</v>
      </c>
      <c r="D11" s="48">
        <v>0.1</v>
      </c>
      <c r="E11" s="49" t="s">
        <v>121</v>
      </c>
    </row>
    <row r="12" spans="1:6" ht="60" customHeight="1" x14ac:dyDescent="0.25">
      <c r="A12" s="17" t="s">
        <v>122</v>
      </c>
      <c r="B12" s="48">
        <v>1.4999999999999999E-2</v>
      </c>
      <c r="C12" s="48">
        <v>0.02</v>
      </c>
      <c r="D12" s="48">
        <v>2.5000000000000001E-2</v>
      </c>
      <c r="E12" s="49" t="s">
        <v>123</v>
      </c>
    </row>
    <row r="14" spans="1:6" x14ac:dyDescent="0.25">
      <c r="A14" s="9" t="s">
        <v>124</v>
      </c>
      <c r="B14" s="9"/>
      <c r="C14" s="9"/>
      <c r="D14" s="9"/>
      <c r="E14" s="9"/>
      <c r="F14" s="9"/>
    </row>
    <row r="15" spans="1:6" x14ac:dyDescent="0.25">
      <c r="A15" s="18"/>
      <c r="B15" s="18" t="s">
        <v>125</v>
      </c>
      <c r="C15" s="18" t="s">
        <v>126</v>
      </c>
      <c r="D15" s="18" t="s">
        <v>127</v>
      </c>
    </row>
    <row r="16" spans="1:6" x14ac:dyDescent="0.25">
      <c r="A16" s="21" t="s">
        <v>128</v>
      </c>
      <c r="B16" s="50">
        <f>(B10-B12)/(B11-B12)</f>
        <v>0.68421052631578949</v>
      </c>
      <c r="C16" s="50">
        <f>(C10-C12)/(C11-C12)</f>
        <v>0.94117647058823539</v>
      </c>
      <c r="D16" s="50">
        <f>(D10-D12)/(D11-D12)</f>
        <v>1.2666666666666664</v>
      </c>
    </row>
    <row r="18" spans="1:6" x14ac:dyDescent="0.25">
      <c r="A18" s="9" t="s">
        <v>129</v>
      </c>
      <c r="B18" s="9"/>
      <c r="C18" s="9"/>
      <c r="D18" s="9"/>
      <c r="E18" s="9"/>
      <c r="F18" s="9"/>
    </row>
    <row r="19" spans="1:6" x14ac:dyDescent="0.25">
      <c r="A19" s="18"/>
      <c r="B19" s="18" t="s">
        <v>125</v>
      </c>
      <c r="C19" s="18" t="s">
        <v>126</v>
      </c>
      <c r="D19" s="18" t="s">
        <v>127</v>
      </c>
    </row>
    <row r="20" spans="1:6" ht="16.5" x14ac:dyDescent="0.25">
      <c r="A20" s="51" t="s">
        <v>130</v>
      </c>
      <c r="B20" s="52">
        <f>$B$5*B16</f>
        <v>1018.5505874252271</v>
      </c>
      <c r="C20" s="52">
        <f>$B$5*C16</f>
        <v>1401.083160983118</v>
      </c>
      <c r="D20" s="52">
        <f>$B$5*D16</f>
        <v>1885.6244208231124</v>
      </c>
    </row>
    <row r="21" spans="1:6" x14ac:dyDescent="0.25">
      <c r="A21" s="25" t="s">
        <v>131</v>
      </c>
      <c r="B21" s="53">
        <f>B20/100</f>
        <v>10.185505874252271</v>
      </c>
      <c r="C21" s="53">
        <f>C20/100</f>
        <v>14.010831609831179</v>
      </c>
      <c r="D21" s="53">
        <f>D20/100</f>
        <v>18.856244208231125</v>
      </c>
    </row>
    <row r="24" spans="1:6" x14ac:dyDescent="0.25">
      <c r="A24" s="9" t="s">
        <v>132</v>
      </c>
      <c r="B24" s="9"/>
      <c r="C24" s="9"/>
      <c r="D24" s="9"/>
      <c r="E24" s="9"/>
      <c r="F24" s="9"/>
    </row>
    <row r="25" spans="1:6" x14ac:dyDescent="0.25">
      <c r="A25" s="17" t="s">
        <v>133</v>
      </c>
      <c r="B25" s="44">
        <f>AVERAGE('Income Statement'!D27:G27)</f>
        <v>148.44999999999999</v>
      </c>
    </row>
    <row r="26" spans="1:6" x14ac:dyDescent="0.25">
      <c r="A26" s="45" t="s">
        <v>134</v>
      </c>
    </row>
    <row r="27" spans="1:6" ht="57" x14ac:dyDescent="0.25">
      <c r="A27" s="17" t="s">
        <v>135</v>
      </c>
      <c r="B27" s="54">
        <v>7</v>
      </c>
      <c r="C27" s="54">
        <v>8.5</v>
      </c>
      <c r="D27" s="54">
        <v>10</v>
      </c>
      <c r="E27" s="55" t="s">
        <v>136</v>
      </c>
    </row>
    <row r="28" spans="1:6" x14ac:dyDescent="0.25">
      <c r="A28" s="21" t="s">
        <v>137</v>
      </c>
      <c r="B28" s="56">
        <f>$B$25*B27</f>
        <v>1039.1499999999999</v>
      </c>
      <c r="C28" s="56">
        <f>$B$25*C27</f>
        <v>1261.8249999999998</v>
      </c>
      <c r="D28" s="56">
        <f>$B$25*D27</f>
        <v>1484.5</v>
      </c>
    </row>
    <row r="31" spans="1:6" ht="15.75" x14ac:dyDescent="0.25">
      <c r="A31" s="8" t="s">
        <v>138</v>
      </c>
      <c r="B31" s="8"/>
      <c r="C31" s="8"/>
      <c r="D31" s="8"/>
      <c r="E31" s="8"/>
      <c r="F31" s="8"/>
    </row>
    <row r="32" spans="1:6" x14ac:dyDescent="0.25">
      <c r="A32" s="18"/>
      <c r="B32" s="18" t="s">
        <v>125</v>
      </c>
      <c r="C32" s="18" t="s">
        <v>126</v>
      </c>
      <c r="D32" s="18" t="s">
        <v>127</v>
      </c>
    </row>
    <row r="33" spans="1:6" ht="16.5" x14ac:dyDescent="0.25">
      <c r="A33" s="57" t="s">
        <v>139</v>
      </c>
      <c r="B33" s="58">
        <f>B20/100</f>
        <v>10.185505874252271</v>
      </c>
      <c r="C33" s="58">
        <f>C20/100</f>
        <v>14.010831609831179</v>
      </c>
      <c r="D33" s="58">
        <f>D20/100</f>
        <v>18.856244208231125</v>
      </c>
    </row>
    <row r="34" spans="1:6" x14ac:dyDescent="0.25">
      <c r="A34" s="25" t="s">
        <v>140</v>
      </c>
      <c r="B34" s="53">
        <f>B28/100</f>
        <v>10.391499999999999</v>
      </c>
      <c r="C34" s="53">
        <f>C28/100</f>
        <v>12.618249999999998</v>
      </c>
      <c r="D34" s="53">
        <f>D28/100</f>
        <v>14.845000000000001</v>
      </c>
    </row>
    <row r="36" spans="1:6" ht="31.5" customHeight="1" x14ac:dyDescent="0.25">
      <c r="A36" s="12" t="s">
        <v>141</v>
      </c>
      <c r="B36" s="12"/>
      <c r="C36" s="12"/>
      <c r="D36" s="12"/>
      <c r="E36" s="12"/>
      <c r="F36" s="12"/>
    </row>
    <row r="37" spans="1:6" ht="31.5" customHeight="1" x14ac:dyDescent="0.25">
      <c r="A37" s="12" t="s">
        <v>142</v>
      </c>
      <c r="B37" s="12"/>
      <c r="C37" s="12"/>
      <c r="D37" s="12"/>
      <c r="E37" s="12"/>
      <c r="F37" s="12"/>
    </row>
    <row r="38" spans="1:6" ht="31.5" customHeight="1" x14ac:dyDescent="0.25">
      <c r="A38" s="12" t="s">
        <v>143</v>
      </c>
      <c r="B38" s="12"/>
      <c r="C38" s="12"/>
      <c r="D38" s="12"/>
      <c r="E38" s="12"/>
      <c r="F38" s="12"/>
    </row>
    <row r="39" spans="1:6" ht="31.5" customHeight="1" x14ac:dyDescent="0.25">
      <c r="A39" s="12" t="s">
        <v>144</v>
      </c>
      <c r="B39" s="12"/>
      <c r="C39" s="12"/>
      <c r="D39" s="12"/>
      <c r="E39" s="12"/>
      <c r="F39" s="12"/>
    </row>
    <row r="40" spans="1:6" ht="31.5" customHeight="1" x14ac:dyDescent="0.25">
      <c r="A40" s="12" t="s">
        <v>145</v>
      </c>
      <c r="B40" s="12"/>
      <c r="C40" s="12"/>
      <c r="D40" s="12"/>
      <c r="E40" s="12"/>
      <c r="F40" s="12"/>
    </row>
    <row r="41" spans="1:6" ht="31.5" customHeight="1" x14ac:dyDescent="0.25">
      <c r="A41" s="12" t="s">
        <v>146</v>
      </c>
      <c r="B41" s="12"/>
      <c r="C41" s="12"/>
      <c r="D41" s="12"/>
      <c r="E41" s="12"/>
      <c r="F41" s="12"/>
    </row>
    <row r="43" spans="1:6" ht="15.75" x14ac:dyDescent="0.25">
      <c r="A43" s="8" t="s">
        <v>147</v>
      </c>
      <c r="B43" s="8"/>
      <c r="C43" s="8"/>
      <c r="D43" s="8"/>
      <c r="E43" s="8"/>
      <c r="F43" s="8"/>
    </row>
    <row r="44" spans="1:6" ht="60" customHeight="1" x14ac:dyDescent="0.25">
      <c r="A44" s="10" t="s">
        <v>148</v>
      </c>
      <c r="B44" s="10"/>
      <c r="C44" s="10"/>
      <c r="D44" s="10"/>
      <c r="E44" s="10"/>
      <c r="F44" s="10"/>
    </row>
    <row r="46" spans="1:6" x14ac:dyDescent="0.25">
      <c r="A46" s="9" t="s">
        <v>149</v>
      </c>
      <c r="B46" s="9"/>
      <c r="C46" s="9"/>
      <c r="D46" s="9"/>
      <c r="E46" s="9"/>
      <c r="F46" s="9"/>
    </row>
    <row r="47" spans="1:6" x14ac:dyDescent="0.25">
      <c r="A47" s="7" t="s">
        <v>150</v>
      </c>
      <c r="B47" s="7"/>
      <c r="C47" s="7"/>
      <c r="D47" s="7"/>
      <c r="E47" s="7"/>
      <c r="F47" s="7"/>
    </row>
    <row r="48" spans="1:6" ht="57.75" customHeight="1" x14ac:dyDescent="0.25">
      <c r="A48" s="6" t="s">
        <v>151</v>
      </c>
      <c r="B48" s="6"/>
      <c r="C48" s="6"/>
      <c r="D48" s="6"/>
      <c r="E48" s="6"/>
      <c r="F48" s="6"/>
    </row>
    <row r="49" spans="1:6" x14ac:dyDescent="0.25">
      <c r="A49" s="7" t="s">
        <v>152</v>
      </c>
      <c r="B49" s="7"/>
      <c r="C49" s="7"/>
      <c r="D49" s="7"/>
      <c r="E49" s="7"/>
      <c r="F49" s="7"/>
    </row>
    <row r="50" spans="1:6" ht="57.75" customHeight="1" x14ac:dyDescent="0.25">
      <c r="A50" s="6" t="s">
        <v>153</v>
      </c>
      <c r="B50" s="6"/>
      <c r="C50" s="6"/>
      <c r="D50" s="6"/>
      <c r="E50" s="6"/>
      <c r="F50" s="6"/>
    </row>
    <row r="51" spans="1:6" x14ac:dyDescent="0.25">
      <c r="A51" s="7" t="s">
        <v>154</v>
      </c>
      <c r="B51" s="7"/>
      <c r="C51" s="7"/>
      <c r="D51" s="7"/>
      <c r="E51" s="7"/>
      <c r="F51" s="7"/>
    </row>
    <row r="52" spans="1:6" ht="57.75" customHeight="1" x14ac:dyDescent="0.25">
      <c r="A52" s="6" t="s">
        <v>155</v>
      </c>
      <c r="B52" s="6"/>
      <c r="C52" s="6"/>
      <c r="D52" s="6"/>
      <c r="E52" s="6"/>
      <c r="F52" s="6"/>
    </row>
    <row r="53" spans="1:6" x14ac:dyDescent="0.25">
      <c r="A53" s="7" t="s">
        <v>156</v>
      </c>
      <c r="B53" s="7"/>
      <c r="C53" s="7"/>
      <c r="D53" s="7"/>
      <c r="E53" s="7"/>
      <c r="F53" s="7"/>
    </row>
    <row r="54" spans="1:6" ht="57.75" customHeight="1" x14ac:dyDescent="0.25">
      <c r="A54" s="6" t="s">
        <v>157</v>
      </c>
      <c r="B54" s="6"/>
      <c r="C54" s="6"/>
      <c r="D54" s="6"/>
      <c r="E54" s="6"/>
      <c r="F54" s="6"/>
    </row>
    <row r="55" spans="1:6" x14ac:dyDescent="0.25">
      <c r="A55" s="7" t="s">
        <v>158</v>
      </c>
      <c r="B55" s="7"/>
      <c r="C55" s="7"/>
      <c r="D55" s="7"/>
      <c r="E55" s="7"/>
      <c r="F55" s="7"/>
    </row>
    <row r="56" spans="1:6" ht="57.75" customHeight="1" x14ac:dyDescent="0.25">
      <c r="A56" s="6" t="s">
        <v>159</v>
      </c>
      <c r="B56" s="6"/>
      <c r="C56" s="6"/>
      <c r="D56" s="6"/>
      <c r="E56" s="6"/>
      <c r="F56" s="6"/>
    </row>
    <row r="58" spans="1:6" ht="25.5" customHeight="1" x14ac:dyDescent="0.25">
      <c r="A58" s="47" t="s">
        <v>160</v>
      </c>
      <c r="B58" s="47" t="s">
        <v>161</v>
      </c>
      <c r="C58" s="47" t="s">
        <v>162</v>
      </c>
      <c r="D58" s="47" t="s">
        <v>163</v>
      </c>
      <c r="E58" s="47" t="s">
        <v>164</v>
      </c>
      <c r="F58" s="47" t="s">
        <v>165</v>
      </c>
    </row>
    <row r="59" spans="1:6" ht="45.75" customHeight="1" x14ac:dyDescent="0.25">
      <c r="A59" s="17" t="s">
        <v>150</v>
      </c>
      <c r="B59" s="59">
        <v>0.47</v>
      </c>
      <c r="C59" s="60">
        <v>7.6</v>
      </c>
      <c r="D59" s="61">
        <v>6.3E-2</v>
      </c>
      <c r="E59" s="49" t="s">
        <v>166</v>
      </c>
      <c r="F59" s="62" t="s">
        <v>167</v>
      </c>
    </row>
    <row r="60" spans="1:6" ht="45.75" customHeight="1" x14ac:dyDescent="0.25">
      <c r="A60" s="17" t="s">
        <v>152</v>
      </c>
      <c r="B60" s="59">
        <v>0.72</v>
      </c>
      <c r="C60" s="60">
        <v>5.3</v>
      </c>
      <c r="D60" s="61">
        <v>0.14299999999999999</v>
      </c>
      <c r="E60" s="49" t="s">
        <v>168</v>
      </c>
      <c r="F60" s="62" t="s">
        <v>169</v>
      </c>
    </row>
    <row r="61" spans="1:6" ht="45.75" customHeight="1" x14ac:dyDescent="0.25">
      <c r="A61" s="17" t="s">
        <v>154</v>
      </c>
      <c r="B61" s="59">
        <v>1.05</v>
      </c>
      <c r="C61" s="60">
        <v>8.6</v>
      </c>
      <c r="D61" s="61">
        <v>0.161</v>
      </c>
      <c r="E61" s="49" t="s">
        <v>170</v>
      </c>
      <c r="F61" s="62" t="s">
        <v>171</v>
      </c>
    </row>
    <row r="62" spans="1:6" ht="45.75" customHeight="1" x14ac:dyDescent="0.25">
      <c r="A62" s="17" t="s">
        <v>156</v>
      </c>
      <c r="B62" s="59">
        <v>0.88</v>
      </c>
      <c r="C62" s="60">
        <v>6.8</v>
      </c>
      <c r="D62" s="61">
        <v>0.13700000000000001</v>
      </c>
      <c r="E62" s="49" t="s">
        <v>172</v>
      </c>
      <c r="F62" s="62" t="s">
        <v>169</v>
      </c>
    </row>
    <row r="63" spans="1:6" ht="45.75" customHeight="1" x14ac:dyDescent="0.25">
      <c r="A63" s="17" t="s">
        <v>158</v>
      </c>
      <c r="B63" s="59">
        <v>0.98</v>
      </c>
      <c r="C63" s="60">
        <v>10.199999999999999</v>
      </c>
      <c r="D63" s="61">
        <v>9.7000000000000003E-2</v>
      </c>
      <c r="E63" s="49" t="s">
        <v>173</v>
      </c>
      <c r="F63" s="62" t="s">
        <v>174</v>
      </c>
    </row>
    <row r="64" spans="1:6" x14ac:dyDescent="0.25">
      <c r="A64" s="21" t="s">
        <v>175</v>
      </c>
      <c r="B64" s="63">
        <f>AVERAGE(B59:B63)</f>
        <v>0.82</v>
      </c>
      <c r="C64" s="64">
        <f>AVERAGE(C59:C63)</f>
        <v>7.7</v>
      </c>
      <c r="D64" s="65">
        <f>AVERAGE(D59:D63)</f>
        <v>0.1202</v>
      </c>
    </row>
    <row r="65" spans="1:6" x14ac:dyDescent="0.25">
      <c r="A65" s="21" t="s">
        <v>176</v>
      </c>
      <c r="B65" s="63">
        <f>MEDIAN(B59:B63)</f>
        <v>0.88</v>
      </c>
      <c r="C65" s="64">
        <f>MEDIAN(C59:C63)</f>
        <v>7.6</v>
      </c>
      <c r="D65" s="65">
        <f>MEDIAN(D59:D63)</f>
        <v>0.13700000000000001</v>
      </c>
    </row>
    <row r="66" spans="1:6" x14ac:dyDescent="0.25">
      <c r="A66" s="41" t="s">
        <v>177</v>
      </c>
      <c r="B66" s="66">
        <f>AVERAGE(B60:B63)</f>
        <v>0.90749999999999997</v>
      </c>
      <c r="C66" s="67">
        <f>AVERAGE(C60:C63)</f>
        <v>7.7249999999999996</v>
      </c>
      <c r="D66" s="68">
        <f>AVERAGE(D60:D63)</f>
        <v>0.13450000000000001</v>
      </c>
    </row>
    <row r="68" spans="1:6" x14ac:dyDescent="0.25">
      <c r="A68" s="21" t="s">
        <v>178</v>
      </c>
    </row>
    <row r="69" spans="1:6" x14ac:dyDescent="0.25">
      <c r="A69" s="41" t="s">
        <v>179</v>
      </c>
      <c r="B69" s="69">
        <f>C16</f>
        <v>0.94117647058823539</v>
      </c>
      <c r="C69" s="70">
        <f>C27</f>
        <v>8.5</v>
      </c>
      <c r="D69" s="71">
        <f>C10</f>
        <v>0.1</v>
      </c>
    </row>
    <row r="71" spans="1:6" ht="109.5" customHeight="1" x14ac:dyDescent="0.25">
      <c r="A71" s="12" t="s">
        <v>180</v>
      </c>
      <c r="B71" s="12"/>
      <c r="C71" s="12"/>
      <c r="D71" s="12"/>
      <c r="E71" s="12"/>
      <c r="F71" s="12"/>
    </row>
    <row r="73" spans="1:6" ht="15.75" x14ac:dyDescent="0.25">
      <c r="A73" s="8" t="s">
        <v>181</v>
      </c>
      <c r="B73" s="8"/>
      <c r="C73" s="8"/>
      <c r="D73" s="8"/>
      <c r="E73" s="8"/>
      <c r="F73" s="8"/>
    </row>
    <row r="74" spans="1:6" ht="31.5" customHeight="1" x14ac:dyDescent="0.25">
      <c r="A74" s="10" t="s">
        <v>182</v>
      </c>
      <c r="B74" s="10"/>
      <c r="C74" s="10"/>
      <c r="D74" s="10"/>
      <c r="E74" s="10"/>
      <c r="F74" s="10"/>
    </row>
    <row r="76" spans="1:6" ht="25.5" customHeight="1" x14ac:dyDescent="0.25">
      <c r="A76" s="5" t="s">
        <v>113</v>
      </c>
      <c r="B76" s="5"/>
      <c r="C76" s="5" t="s">
        <v>183</v>
      </c>
      <c r="D76" s="5"/>
      <c r="E76" s="4"/>
      <c r="F76" s="4"/>
    </row>
    <row r="77" spans="1:6" ht="159.75" customHeight="1" x14ac:dyDescent="0.25">
      <c r="A77" s="3" t="s">
        <v>184</v>
      </c>
      <c r="B77" s="3"/>
      <c r="C77" s="6" t="s">
        <v>185</v>
      </c>
      <c r="D77" s="6"/>
      <c r="E77" s="2" t="s">
        <v>186</v>
      </c>
      <c r="F77" s="2"/>
    </row>
    <row r="78" spans="1:6" ht="159.75" customHeight="1" x14ac:dyDescent="0.25">
      <c r="A78" s="3" t="s">
        <v>187</v>
      </c>
      <c r="B78" s="3"/>
      <c r="C78" s="6" t="s">
        <v>188</v>
      </c>
      <c r="D78" s="6"/>
      <c r="E78" s="2" t="s">
        <v>189</v>
      </c>
      <c r="F78" s="2"/>
    </row>
    <row r="79" spans="1:6" ht="159.75" customHeight="1" x14ac:dyDescent="0.25">
      <c r="A79" s="3" t="s">
        <v>190</v>
      </c>
      <c r="B79" s="3"/>
      <c r="C79" s="6" t="s">
        <v>191</v>
      </c>
      <c r="D79" s="6"/>
      <c r="E79" s="2" t="s">
        <v>192</v>
      </c>
      <c r="F79" s="2"/>
    </row>
    <row r="81" spans="1:6" ht="27.75" customHeight="1" x14ac:dyDescent="0.25">
      <c r="A81" s="13" t="s">
        <v>193</v>
      </c>
      <c r="B81" s="13"/>
      <c r="C81" s="13"/>
      <c r="D81" s="13"/>
      <c r="E81" s="13"/>
      <c r="F81" s="13"/>
    </row>
  </sheetData>
  <mergeCells count="42">
    <mergeCell ref="A79:B79"/>
    <mergeCell ref="C79:D79"/>
    <mergeCell ref="E79:F79"/>
    <mergeCell ref="A81:F81"/>
    <mergeCell ref="A77:B77"/>
    <mergeCell ref="C77:D77"/>
    <mergeCell ref="E77:F77"/>
    <mergeCell ref="A78:B78"/>
    <mergeCell ref="C78:D78"/>
    <mergeCell ref="E78:F78"/>
    <mergeCell ref="A56:F56"/>
    <mergeCell ref="A71:F71"/>
    <mergeCell ref="A73:F73"/>
    <mergeCell ref="A74:F74"/>
    <mergeCell ref="A76:B76"/>
    <mergeCell ref="C76:D76"/>
    <mergeCell ref="E76:F76"/>
    <mergeCell ref="A51:F51"/>
    <mergeCell ref="A52:F52"/>
    <mergeCell ref="A53:F53"/>
    <mergeCell ref="A54:F54"/>
    <mergeCell ref="A55:F55"/>
    <mergeCell ref="A46:F46"/>
    <mergeCell ref="A47:F47"/>
    <mergeCell ref="A48:F48"/>
    <mergeCell ref="A49:F49"/>
    <mergeCell ref="A50:F50"/>
    <mergeCell ref="A39:F39"/>
    <mergeCell ref="A40:F40"/>
    <mergeCell ref="A41:F41"/>
    <mergeCell ref="A43:F43"/>
    <mergeCell ref="A44:F44"/>
    <mergeCell ref="A24:F24"/>
    <mergeCell ref="A31:F31"/>
    <mergeCell ref="A36:F36"/>
    <mergeCell ref="A37:F37"/>
    <mergeCell ref="A38:F38"/>
    <mergeCell ref="A2:F2"/>
    <mergeCell ref="A4:F4"/>
    <mergeCell ref="A8:F8"/>
    <mergeCell ref="A14:F14"/>
    <mergeCell ref="A18:F18"/>
  </mergeCells>
  <pageMargins left="0.75" right="0.75" top="1" bottom="1" header="0.511811023622047" footer="0.511811023622047"/>
  <pageSetup scale="79" fitToHeight="0" orientation="landscape" horizontalDpi="300" verticalDpi="30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80"/>
  <sheetViews>
    <sheetView topLeftCell="A24" zoomScale="145" zoomScaleNormal="145" workbookViewId="0"/>
  </sheetViews>
  <sheetFormatPr defaultColWidth="8.7109375" defaultRowHeight="15" x14ac:dyDescent="0.25"/>
  <cols>
    <col min="1" max="1" width="44" customWidth="1"/>
    <col min="2" max="6" width="16" customWidth="1"/>
  </cols>
  <sheetData>
    <row r="1" spans="1:6" ht="15.75" x14ac:dyDescent="0.25">
      <c r="A1" s="15" t="s">
        <v>194</v>
      </c>
    </row>
    <row r="2" spans="1:6" ht="54.75" customHeight="1" x14ac:dyDescent="0.25">
      <c r="A2" s="10" t="s">
        <v>195</v>
      </c>
      <c r="B2" s="10"/>
      <c r="C2" s="10"/>
      <c r="D2" s="10"/>
      <c r="E2" s="10"/>
      <c r="F2" s="10"/>
    </row>
    <row r="4" spans="1:6" x14ac:dyDescent="0.25">
      <c r="A4" s="9" t="s">
        <v>196</v>
      </c>
      <c r="B4" s="9"/>
      <c r="C4" s="9"/>
      <c r="D4" s="9"/>
      <c r="E4" s="9"/>
      <c r="F4" s="9"/>
    </row>
    <row r="5" spans="1:6" x14ac:dyDescent="0.25">
      <c r="A5" s="17" t="s">
        <v>197</v>
      </c>
      <c r="B5" s="44">
        <v>16576619</v>
      </c>
      <c r="C5" s="45" t="s">
        <v>198</v>
      </c>
    </row>
    <row r="6" spans="1:6" x14ac:dyDescent="0.25">
      <c r="A6" s="25" t="s">
        <v>199</v>
      </c>
      <c r="B6" s="72">
        <v>-390274</v>
      </c>
      <c r="C6" s="45" t="s">
        <v>200</v>
      </c>
    </row>
    <row r="7" spans="1:6" x14ac:dyDescent="0.25">
      <c r="A7" s="17" t="s">
        <v>201</v>
      </c>
      <c r="B7" s="44">
        <v>16186345</v>
      </c>
      <c r="C7" s="45" t="s">
        <v>202</v>
      </c>
    </row>
    <row r="8" spans="1:6" x14ac:dyDescent="0.25">
      <c r="A8" s="17" t="s">
        <v>203</v>
      </c>
      <c r="B8" s="44">
        <v>152621</v>
      </c>
      <c r="C8" s="45" t="s">
        <v>198</v>
      </c>
    </row>
    <row r="9" spans="1:6" x14ac:dyDescent="0.25">
      <c r="A9" s="25" t="s">
        <v>204</v>
      </c>
      <c r="B9" s="72">
        <v>-19040</v>
      </c>
      <c r="C9" s="45" t="s">
        <v>200</v>
      </c>
    </row>
    <row r="10" spans="1:6" x14ac:dyDescent="0.25">
      <c r="A10" s="17" t="s">
        <v>205</v>
      </c>
      <c r="B10" s="44">
        <v>133581</v>
      </c>
      <c r="C10" s="45" t="s">
        <v>206</v>
      </c>
    </row>
    <row r="11" spans="1:6" ht="33.75" customHeight="1" x14ac:dyDescent="0.25">
      <c r="A11" s="13" t="s">
        <v>207</v>
      </c>
      <c r="B11" s="13"/>
      <c r="C11" s="13"/>
      <c r="D11" s="13"/>
      <c r="E11" s="13"/>
      <c r="F11" s="13"/>
    </row>
    <row r="13" spans="1:6" x14ac:dyDescent="0.25">
      <c r="A13" s="9" t="s">
        <v>208</v>
      </c>
      <c r="B13" s="9"/>
      <c r="C13" s="9"/>
      <c r="D13" s="9"/>
      <c r="E13" s="9"/>
      <c r="F13" s="9"/>
    </row>
    <row r="14" spans="1:6" ht="19.5" customHeight="1" x14ac:dyDescent="0.25">
      <c r="A14" s="47" t="s">
        <v>209</v>
      </c>
      <c r="B14" s="47" t="s">
        <v>210</v>
      </c>
      <c r="C14" s="47" t="s">
        <v>211</v>
      </c>
      <c r="D14" s="47" t="s">
        <v>212</v>
      </c>
      <c r="E14" s="47" t="s">
        <v>213</v>
      </c>
    </row>
    <row r="15" spans="1:6" ht="39.75" customHeight="1" x14ac:dyDescent="0.25">
      <c r="A15" s="21" t="s">
        <v>214</v>
      </c>
      <c r="B15" s="43" t="s">
        <v>215</v>
      </c>
      <c r="C15" s="73" t="s">
        <v>216</v>
      </c>
      <c r="D15" s="43" t="s">
        <v>217</v>
      </c>
      <c r="E15" s="1" t="s">
        <v>218</v>
      </c>
      <c r="F15" s="1"/>
    </row>
    <row r="16" spans="1:6" ht="39.75" customHeight="1" x14ac:dyDescent="0.25">
      <c r="A16" s="21" t="s">
        <v>219</v>
      </c>
      <c r="B16" s="43" t="s">
        <v>220</v>
      </c>
      <c r="C16" s="73" t="s">
        <v>221</v>
      </c>
      <c r="D16" s="43" t="s">
        <v>222</v>
      </c>
      <c r="E16" s="1" t="s">
        <v>223</v>
      </c>
      <c r="F16" s="1"/>
    </row>
    <row r="17" spans="1:6" ht="39.75" customHeight="1" x14ac:dyDescent="0.25">
      <c r="A17" s="21" t="s">
        <v>224</v>
      </c>
      <c r="B17" s="43" t="s">
        <v>225</v>
      </c>
      <c r="C17" s="73" t="s">
        <v>221</v>
      </c>
      <c r="D17" s="43" t="s">
        <v>226</v>
      </c>
      <c r="E17" s="1" t="s">
        <v>227</v>
      </c>
      <c r="F17" s="1"/>
    </row>
    <row r="18" spans="1:6" ht="39.75" customHeight="1" x14ac:dyDescent="0.25">
      <c r="A18" s="21" t="s">
        <v>228</v>
      </c>
      <c r="B18" s="43" t="s">
        <v>229</v>
      </c>
      <c r="C18" s="74" t="s">
        <v>230</v>
      </c>
      <c r="D18" s="43" t="s">
        <v>231</v>
      </c>
      <c r="E18" s="1" t="s">
        <v>232</v>
      </c>
      <c r="F18" s="1"/>
    </row>
    <row r="19" spans="1:6" ht="39.75" customHeight="1" x14ac:dyDescent="0.25">
      <c r="A19" s="21" t="s">
        <v>233</v>
      </c>
      <c r="B19" s="43" t="s">
        <v>234</v>
      </c>
      <c r="C19" s="74" t="s">
        <v>235</v>
      </c>
      <c r="D19" s="43" t="s">
        <v>236</v>
      </c>
      <c r="E19" s="1" t="s">
        <v>237</v>
      </c>
      <c r="F19" s="1"/>
    </row>
    <row r="20" spans="1:6" ht="39.75" customHeight="1" x14ac:dyDescent="0.25">
      <c r="A20" s="21" t="s">
        <v>238</v>
      </c>
      <c r="B20" s="43" t="s">
        <v>234</v>
      </c>
      <c r="C20" s="74" t="s">
        <v>235</v>
      </c>
      <c r="D20" s="43" t="s">
        <v>239</v>
      </c>
      <c r="E20" s="1" t="s">
        <v>240</v>
      </c>
      <c r="F20" s="1"/>
    </row>
    <row r="21" spans="1:6" ht="39.75" customHeight="1" x14ac:dyDescent="0.25">
      <c r="A21" s="21" t="s">
        <v>241</v>
      </c>
      <c r="B21" s="43" t="s">
        <v>234</v>
      </c>
      <c r="C21" s="74" t="s">
        <v>235</v>
      </c>
      <c r="D21" s="43" t="s">
        <v>239</v>
      </c>
      <c r="E21" s="1" t="s">
        <v>242</v>
      </c>
      <c r="F21" s="1"/>
    </row>
    <row r="22" spans="1:6" ht="39.75" customHeight="1" x14ac:dyDescent="0.25">
      <c r="A22" s="21" t="s">
        <v>243</v>
      </c>
      <c r="B22" s="43" t="s">
        <v>234</v>
      </c>
      <c r="C22" s="74" t="s">
        <v>235</v>
      </c>
      <c r="D22" s="43" t="s">
        <v>239</v>
      </c>
      <c r="E22" s="1" t="s">
        <v>244</v>
      </c>
      <c r="F22" s="1"/>
    </row>
    <row r="23" spans="1:6" ht="39.75" customHeight="1" x14ac:dyDescent="0.25">
      <c r="A23" s="21" t="s">
        <v>245</v>
      </c>
      <c r="B23" s="43" t="s">
        <v>234</v>
      </c>
      <c r="C23" s="74" t="s">
        <v>235</v>
      </c>
      <c r="D23" s="43" t="s">
        <v>246</v>
      </c>
      <c r="E23" s="1" t="s">
        <v>247</v>
      </c>
      <c r="F23" s="1"/>
    </row>
    <row r="24" spans="1:6" ht="39.75" customHeight="1" x14ac:dyDescent="0.25">
      <c r="A24" s="21" t="s">
        <v>248</v>
      </c>
      <c r="B24" s="43" t="s">
        <v>234</v>
      </c>
      <c r="C24" s="74" t="s">
        <v>235</v>
      </c>
      <c r="D24" s="43" t="s">
        <v>249</v>
      </c>
      <c r="E24" s="1" t="s">
        <v>250</v>
      </c>
      <c r="F24" s="1"/>
    </row>
    <row r="25" spans="1:6" ht="24" customHeight="1" x14ac:dyDescent="0.25">
      <c r="A25" s="13" t="s">
        <v>251</v>
      </c>
      <c r="B25" s="13"/>
      <c r="C25" s="13"/>
      <c r="D25" s="13"/>
      <c r="E25" s="13"/>
      <c r="F25" s="13"/>
    </row>
    <row r="26" spans="1:6" ht="30" customHeight="1" x14ac:dyDescent="0.25">
      <c r="A26" s="13" t="s">
        <v>252</v>
      </c>
      <c r="B26" s="13"/>
      <c r="C26" s="13"/>
      <c r="D26" s="13"/>
      <c r="E26" s="13"/>
      <c r="F26" s="13"/>
    </row>
    <row r="28" spans="1:6" x14ac:dyDescent="0.25">
      <c r="A28" s="9" t="s">
        <v>253</v>
      </c>
      <c r="B28" s="9"/>
      <c r="C28" s="9"/>
      <c r="D28" s="9"/>
      <c r="E28" s="9"/>
      <c r="F28" s="9"/>
    </row>
    <row r="29" spans="1:6" ht="27.75" customHeight="1" x14ac:dyDescent="0.25">
      <c r="A29" s="13" t="s">
        <v>254</v>
      </c>
      <c r="B29" s="13"/>
      <c r="C29" s="13"/>
      <c r="D29" s="13"/>
      <c r="E29" s="13"/>
      <c r="F29" s="13"/>
    </row>
    <row r="31" spans="1:6" x14ac:dyDescent="0.25">
      <c r="A31" s="21" t="s">
        <v>255</v>
      </c>
    </row>
    <row r="32" spans="1:6" ht="26.25" x14ac:dyDescent="0.25">
      <c r="A32" s="47" t="s">
        <v>256</v>
      </c>
      <c r="B32" s="47" t="s">
        <v>257</v>
      </c>
      <c r="C32" s="47" t="s">
        <v>258</v>
      </c>
      <c r="D32" s="47" t="s">
        <v>259</v>
      </c>
    </row>
    <row r="33" spans="1:6" x14ac:dyDescent="0.25">
      <c r="A33" s="17" t="s">
        <v>214</v>
      </c>
      <c r="B33" s="72">
        <v>9392185</v>
      </c>
      <c r="C33" s="61">
        <f t="shared" ref="C33:C38" si="0">B33/$B$7</f>
        <v>0.58025360265087644</v>
      </c>
      <c r="D33" s="75">
        <v>0.57999999999999996</v>
      </c>
    </row>
    <row r="34" spans="1:6" x14ac:dyDescent="0.25">
      <c r="A34" s="17" t="s">
        <v>260</v>
      </c>
      <c r="B34" s="72">
        <v>26062</v>
      </c>
      <c r="C34" s="61">
        <f t="shared" si="0"/>
        <v>1.6101226064315322E-3</v>
      </c>
      <c r="D34" s="75">
        <v>2E-3</v>
      </c>
    </row>
    <row r="35" spans="1:6" x14ac:dyDescent="0.25">
      <c r="A35" s="17" t="s">
        <v>261</v>
      </c>
      <c r="B35" s="72">
        <v>11617</v>
      </c>
      <c r="C35" s="61">
        <f t="shared" si="0"/>
        <v>7.1770371878271465E-4</v>
      </c>
      <c r="D35" s="75">
        <v>1E-3</v>
      </c>
    </row>
    <row r="36" spans="1:6" x14ac:dyDescent="0.25">
      <c r="A36" s="17" t="s">
        <v>262</v>
      </c>
      <c r="B36" s="72">
        <v>6000</v>
      </c>
      <c r="C36" s="61">
        <f t="shared" si="0"/>
        <v>3.706828193764559E-4</v>
      </c>
      <c r="D36" s="75">
        <v>0</v>
      </c>
    </row>
    <row r="37" spans="1:6" x14ac:dyDescent="0.25">
      <c r="A37" s="17" t="s">
        <v>263</v>
      </c>
      <c r="B37" s="72">
        <v>51699</v>
      </c>
      <c r="C37" s="61">
        <f t="shared" si="0"/>
        <v>3.193988513157232E-3</v>
      </c>
      <c r="D37" s="75">
        <v>3.0000000000000001E-3</v>
      </c>
    </row>
    <row r="38" spans="1:6" x14ac:dyDescent="0.25">
      <c r="A38" s="21" t="s">
        <v>264</v>
      </c>
      <c r="B38" s="44">
        <f>SUM(B33:B37)</f>
        <v>9487563</v>
      </c>
      <c r="C38" s="65">
        <f t="shared" si="0"/>
        <v>0.58614610030862435</v>
      </c>
    </row>
    <row r="40" spans="1:6" x14ac:dyDescent="0.25">
      <c r="A40" s="21" t="s">
        <v>265</v>
      </c>
    </row>
    <row r="41" spans="1:6" ht="26.25" x14ac:dyDescent="0.25">
      <c r="A41" s="47" t="s">
        <v>256</v>
      </c>
      <c r="B41" s="47" t="s">
        <v>257</v>
      </c>
      <c r="C41" s="47" t="s">
        <v>266</v>
      </c>
      <c r="D41" s="47" t="s">
        <v>259</v>
      </c>
    </row>
    <row r="42" spans="1:6" x14ac:dyDescent="0.25">
      <c r="A42" s="17" t="s">
        <v>214</v>
      </c>
      <c r="B42" s="72">
        <v>86674</v>
      </c>
      <c r="C42" s="61">
        <f>B42/$B$10</f>
        <v>0.64884976156788765</v>
      </c>
      <c r="D42" s="75">
        <v>0.64900000000000002</v>
      </c>
    </row>
    <row r="43" spans="1:6" x14ac:dyDescent="0.25">
      <c r="A43" s="17" t="s">
        <v>262</v>
      </c>
      <c r="B43" s="72">
        <v>60</v>
      </c>
      <c r="C43" s="61">
        <f>B43/$B$10</f>
        <v>4.4916567475913492E-4</v>
      </c>
      <c r="D43" s="75">
        <v>0</v>
      </c>
    </row>
    <row r="44" spans="1:6" x14ac:dyDescent="0.25">
      <c r="A44" s="17" t="s">
        <v>263</v>
      </c>
      <c r="B44" s="72">
        <v>516</v>
      </c>
      <c r="C44" s="61">
        <f>B44/$B$10</f>
        <v>3.8628248029285604E-3</v>
      </c>
      <c r="D44" s="75">
        <v>4.0000000000000001E-3</v>
      </c>
    </row>
    <row r="45" spans="1:6" x14ac:dyDescent="0.25">
      <c r="A45" s="21" t="s">
        <v>267</v>
      </c>
      <c r="B45" s="44">
        <f>SUM(B42:B44)</f>
        <v>87250</v>
      </c>
      <c r="C45" s="65">
        <f>B45/$B$10</f>
        <v>0.65316175204557536</v>
      </c>
    </row>
    <row r="47" spans="1:6" x14ac:dyDescent="0.25">
      <c r="A47" s="9" t="s">
        <v>268</v>
      </c>
      <c r="B47" s="9"/>
      <c r="C47" s="9"/>
      <c r="D47" s="9"/>
      <c r="E47" s="9"/>
      <c r="F47" s="9"/>
    </row>
    <row r="48" spans="1:6" x14ac:dyDescent="0.25">
      <c r="A48" s="21" t="s">
        <v>269</v>
      </c>
    </row>
    <row r="49" spans="1:6" x14ac:dyDescent="0.25">
      <c r="A49" s="18" t="s">
        <v>270</v>
      </c>
      <c r="B49" s="18" t="s">
        <v>271</v>
      </c>
      <c r="C49" s="18" t="s">
        <v>272</v>
      </c>
    </row>
    <row r="50" spans="1:6" x14ac:dyDescent="0.25">
      <c r="A50" s="17" t="s">
        <v>273</v>
      </c>
      <c r="B50" s="72">
        <v>1375156</v>
      </c>
      <c r="C50" s="61">
        <v>8.5000000000000006E-2</v>
      </c>
    </row>
    <row r="51" spans="1:6" x14ac:dyDescent="0.25">
      <c r="A51" s="17" t="s">
        <v>274</v>
      </c>
      <c r="B51" s="72">
        <v>825919</v>
      </c>
      <c r="C51" s="61">
        <v>5.0999999999999997E-2</v>
      </c>
    </row>
    <row r="52" spans="1:6" x14ac:dyDescent="0.25">
      <c r="A52" s="21" t="s">
        <v>275</v>
      </c>
      <c r="B52" s="44">
        <f>SUM(B50:B51)</f>
        <v>2201075</v>
      </c>
      <c r="C52" s="65">
        <f>B52/$B$7</f>
        <v>0.13598344777650545</v>
      </c>
    </row>
    <row r="54" spans="1:6" ht="27.75" customHeight="1" x14ac:dyDescent="0.25">
      <c r="A54" s="81" t="s">
        <v>276</v>
      </c>
      <c r="B54" s="81"/>
      <c r="C54" s="81"/>
      <c r="D54" s="81"/>
      <c r="E54" s="81"/>
      <c r="F54" s="81"/>
    </row>
    <row r="55" spans="1:6" x14ac:dyDescent="0.25">
      <c r="A55" s="18" t="s">
        <v>270</v>
      </c>
      <c r="B55" s="18" t="s">
        <v>277</v>
      </c>
      <c r="C55" s="18" t="s">
        <v>278</v>
      </c>
      <c r="D55" s="18" t="s">
        <v>279</v>
      </c>
    </row>
    <row r="56" spans="1:6" ht="21.75" customHeight="1" x14ac:dyDescent="0.25">
      <c r="A56" s="43" t="s">
        <v>280</v>
      </c>
      <c r="B56" s="76">
        <v>370000</v>
      </c>
      <c r="C56" s="77">
        <v>2.29E-2</v>
      </c>
      <c r="D56" s="82" t="s">
        <v>281</v>
      </c>
      <c r="E56" s="82"/>
      <c r="F56" s="82"/>
    </row>
    <row r="57" spans="1:6" ht="21.75" customHeight="1" x14ac:dyDescent="0.25">
      <c r="A57" s="43" t="s">
        <v>282</v>
      </c>
      <c r="B57" s="76">
        <v>132000</v>
      </c>
      <c r="C57" s="77">
        <v>8.2000000000000007E-3</v>
      </c>
      <c r="D57" s="82" t="s">
        <v>283</v>
      </c>
      <c r="E57" s="82"/>
      <c r="F57" s="82"/>
    </row>
    <row r="58" spans="1:6" ht="21.75" customHeight="1" x14ac:dyDescent="0.25">
      <c r="A58" s="43" t="s">
        <v>284</v>
      </c>
      <c r="B58" s="76">
        <v>86000</v>
      </c>
      <c r="C58" s="77">
        <v>5.3E-3</v>
      </c>
      <c r="D58" s="82" t="s">
        <v>281</v>
      </c>
      <c r="E58" s="82"/>
      <c r="F58" s="82"/>
    </row>
    <row r="59" spans="1:6" ht="21.75" customHeight="1" x14ac:dyDescent="0.25">
      <c r="A59" s="43" t="s">
        <v>285</v>
      </c>
      <c r="B59" s="76">
        <v>78709</v>
      </c>
      <c r="C59" s="77">
        <v>4.8999999999999998E-3</v>
      </c>
      <c r="D59" s="82" t="s">
        <v>286</v>
      </c>
      <c r="E59" s="82"/>
      <c r="F59" s="82"/>
    </row>
    <row r="60" spans="1:6" ht="21.75" customHeight="1" x14ac:dyDescent="0.25">
      <c r="A60" s="43" t="s">
        <v>287</v>
      </c>
      <c r="B60" s="76">
        <v>62000</v>
      </c>
      <c r="C60" s="77">
        <v>3.8E-3</v>
      </c>
      <c r="D60" s="82" t="s">
        <v>288</v>
      </c>
      <c r="E60" s="82"/>
      <c r="F60" s="82"/>
    </row>
    <row r="61" spans="1:6" ht="21.75" customHeight="1" x14ac:dyDescent="0.25">
      <c r="A61" s="43" t="s">
        <v>289</v>
      </c>
      <c r="B61" s="76">
        <v>46000</v>
      </c>
      <c r="C61" s="77">
        <v>2.8E-3</v>
      </c>
      <c r="D61" s="82" t="s">
        <v>290</v>
      </c>
      <c r="E61" s="82"/>
      <c r="F61" s="82"/>
    </row>
    <row r="62" spans="1:6" ht="60" customHeight="1" x14ac:dyDescent="0.25">
      <c r="A62" s="14" t="s">
        <v>291</v>
      </c>
      <c r="B62" s="14"/>
      <c r="C62" s="14"/>
      <c r="D62" s="14"/>
      <c r="E62" s="14"/>
      <c r="F62" s="14"/>
    </row>
    <row r="64" spans="1:6" x14ac:dyDescent="0.25">
      <c r="A64" s="9" t="s">
        <v>292</v>
      </c>
      <c r="B64" s="9"/>
      <c r="C64" s="9"/>
      <c r="D64" s="9"/>
      <c r="E64" s="9"/>
      <c r="F64" s="9"/>
    </row>
    <row r="65" spans="1:6" x14ac:dyDescent="0.25">
      <c r="A65" s="18"/>
      <c r="B65" s="18" t="s">
        <v>293</v>
      </c>
      <c r="C65" s="18" t="s">
        <v>272</v>
      </c>
    </row>
    <row r="66" spans="1:6" x14ac:dyDescent="0.25">
      <c r="A66" s="17" t="s">
        <v>294</v>
      </c>
      <c r="B66" s="72">
        <f>B38</f>
        <v>9487563</v>
      </c>
      <c r="C66" s="61">
        <f>B66/$B$7</f>
        <v>0.58614610030862435</v>
      </c>
    </row>
    <row r="67" spans="1:6" x14ac:dyDescent="0.25">
      <c r="A67" s="41" t="s">
        <v>295</v>
      </c>
      <c r="B67" s="78">
        <v>9392185</v>
      </c>
      <c r="C67" s="68">
        <f>B67/$B$7</f>
        <v>0.58025360265087644</v>
      </c>
    </row>
    <row r="68" spans="1:6" x14ac:dyDescent="0.25">
      <c r="A68" s="17" t="s">
        <v>296</v>
      </c>
      <c r="B68" s="72">
        <f>B52</f>
        <v>2201075</v>
      </c>
      <c r="C68" s="61">
        <f>B68/$B$7</f>
        <v>0.13598344777650545</v>
      </c>
    </row>
    <row r="69" spans="1:6" x14ac:dyDescent="0.25">
      <c r="A69" s="21" t="s">
        <v>297</v>
      </c>
      <c r="B69" s="44">
        <f>B66+B68</f>
        <v>11688638</v>
      </c>
      <c r="C69" s="65">
        <f>B69/$B$7</f>
        <v>0.72212954808512975</v>
      </c>
    </row>
    <row r="70" spans="1:6" x14ac:dyDescent="0.25">
      <c r="A70" s="25" t="s">
        <v>298</v>
      </c>
      <c r="B70" s="79">
        <f>$B$7-B69</f>
        <v>4497707</v>
      </c>
      <c r="C70" s="80">
        <f>B70/$B$7</f>
        <v>0.2778704519148702</v>
      </c>
    </row>
    <row r="72" spans="1:6" x14ac:dyDescent="0.25">
      <c r="A72" s="9" t="s">
        <v>299</v>
      </c>
      <c r="B72" s="9"/>
      <c r="C72" s="9"/>
      <c r="D72" s="9"/>
      <c r="E72" s="9"/>
      <c r="F72" s="9"/>
    </row>
    <row r="73" spans="1:6" ht="39.75" customHeight="1" x14ac:dyDescent="0.25">
      <c r="A73" s="11" t="s">
        <v>300</v>
      </c>
      <c r="B73" s="11"/>
      <c r="C73" s="11"/>
      <c r="D73" s="11"/>
      <c r="E73" s="11"/>
      <c r="F73" s="11"/>
    </row>
    <row r="74" spans="1:6" ht="39.75" customHeight="1" x14ac:dyDescent="0.25">
      <c r="A74" s="11" t="s">
        <v>301</v>
      </c>
      <c r="B74" s="11"/>
      <c r="C74" s="11"/>
      <c r="D74" s="11"/>
      <c r="E74" s="11"/>
      <c r="F74" s="11"/>
    </row>
    <row r="75" spans="1:6" ht="39.75" customHeight="1" x14ac:dyDescent="0.25">
      <c r="A75" s="11" t="s">
        <v>302</v>
      </c>
      <c r="B75" s="11"/>
      <c r="C75" s="11"/>
      <c r="D75" s="11"/>
      <c r="E75" s="11"/>
      <c r="F75" s="11"/>
    </row>
    <row r="76" spans="1:6" ht="39.75" customHeight="1" x14ac:dyDescent="0.25">
      <c r="A76" s="11" t="s">
        <v>303</v>
      </c>
      <c r="B76" s="11"/>
      <c r="C76" s="11"/>
      <c r="D76" s="11"/>
      <c r="E76" s="11"/>
      <c r="F76" s="11"/>
    </row>
    <row r="77" spans="1:6" ht="39.75" customHeight="1" x14ac:dyDescent="0.25">
      <c r="A77" s="11" t="s">
        <v>304</v>
      </c>
      <c r="B77" s="11"/>
      <c r="C77" s="11"/>
      <c r="D77" s="11"/>
      <c r="E77" s="11"/>
      <c r="F77" s="11"/>
    </row>
    <row r="78" spans="1:6" ht="39.75" customHeight="1" x14ac:dyDescent="0.25">
      <c r="A78" s="11" t="s">
        <v>305</v>
      </c>
      <c r="B78" s="11"/>
      <c r="C78" s="11"/>
      <c r="D78" s="11"/>
      <c r="E78" s="11"/>
      <c r="F78" s="11"/>
    </row>
    <row r="80" spans="1:6" ht="31.5" customHeight="1" x14ac:dyDescent="0.25">
      <c r="A80" s="13" t="s">
        <v>306</v>
      </c>
      <c r="B80" s="13"/>
      <c r="C80" s="13"/>
      <c r="D80" s="13"/>
      <c r="E80" s="13"/>
      <c r="F80" s="13"/>
    </row>
  </sheetData>
  <mergeCells count="36">
    <mergeCell ref="A80:F80"/>
    <mergeCell ref="A74:F74"/>
    <mergeCell ref="A75:F75"/>
    <mergeCell ref="A76:F76"/>
    <mergeCell ref="A77:F77"/>
    <mergeCell ref="A78:F78"/>
    <mergeCell ref="D61:F61"/>
    <mergeCell ref="A62:F62"/>
    <mergeCell ref="A64:F64"/>
    <mergeCell ref="A72:F72"/>
    <mergeCell ref="A73:F73"/>
    <mergeCell ref="D56:F56"/>
    <mergeCell ref="D57:F57"/>
    <mergeCell ref="D58:F58"/>
    <mergeCell ref="D59:F59"/>
    <mergeCell ref="D60:F60"/>
    <mergeCell ref="A26:F26"/>
    <mergeCell ref="A28:F28"/>
    <mergeCell ref="A29:F29"/>
    <mergeCell ref="A47:F47"/>
    <mergeCell ref="A54:F54"/>
    <mergeCell ref="E21:F21"/>
    <mergeCell ref="E22:F22"/>
    <mergeCell ref="E23:F23"/>
    <mergeCell ref="E24:F24"/>
    <mergeCell ref="A25:F25"/>
    <mergeCell ref="E16:F16"/>
    <mergeCell ref="E17:F17"/>
    <mergeCell ref="E18:F18"/>
    <mergeCell ref="E19:F19"/>
    <mergeCell ref="E20:F20"/>
    <mergeCell ref="A2:F2"/>
    <mergeCell ref="A4:F4"/>
    <mergeCell ref="A11:F11"/>
    <mergeCell ref="A13:F13"/>
    <mergeCell ref="E15:F15"/>
  </mergeCells>
  <pageMargins left="0.75" right="0.75" top="1" bottom="1" header="0.511811023622047" footer="0.511811023622047"/>
  <pageSetup scale="97" fitToHeight="0" orientation="landscape" horizontalDpi="300" verticalDpi="300" r:id="rId1"/>
  <legacy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Income Statement</vt:lpstr>
      <vt:lpstr>Balance Sheet</vt:lpstr>
      <vt:lpstr>Cash Flow</vt:lpstr>
      <vt:lpstr>Bank KPIs</vt:lpstr>
      <vt:lpstr>Sentiment &amp; Mgmt Quality</vt:lpstr>
      <vt:lpstr>Valuation</vt:lpstr>
      <vt:lpstr>Ownership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Wolfgang Bessler</cp:lastModifiedBy>
  <cp:revision>2</cp:revision>
  <cp:lastPrinted>2026-08-29T22:47:34Z</cp:lastPrinted>
  <dcterms:created xsi:type="dcterms:W3CDTF">2026-08-29T00:11:49Z</dcterms:created>
  <dcterms:modified xsi:type="dcterms:W3CDTF">2026-08-29T22:49:00Z</dcterms:modified>
  <dc:language>en-US</dc:language>
</cp:coreProperties>
</file>